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6035" windowHeight="7545" activeTab="0"/>
  </bookViews>
  <sheets>
    <sheet name="ポイント計算ツール「エネポン」" sheetId="1" r:id="rId1"/>
    <sheet name="マスタ" sheetId="2" state="hidden" r:id="rId2"/>
    <sheet name="バージョンアップ履歴" sheetId="3" state="hidden" r:id="rId3"/>
  </sheets>
  <definedNames>
    <definedName name="_xlnm.Print_Area" localSheetId="0">'ポイント計算ツール「エネポン」'!$A$1:$K$97</definedName>
    <definedName name="数量">'マスタ'!$B$2:$B$7</definedName>
    <definedName name="窓改修内容">'マスタ'!$C$2:$C$5</definedName>
    <definedName name="断熱材区分">'マスタ'!$D$2:$D$4</definedName>
    <definedName name="有無">'マスタ'!$A$2:$A$3</definedName>
  </definedNames>
  <calcPr fullCalcOnLoad="1"/>
</workbook>
</file>

<file path=xl/sharedStrings.xml><?xml version="1.0" encoding="utf-8"?>
<sst xmlns="http://schemas.openxmlformats.org/spreadsheetml/2006/main" count="128" uniqueCount="92">
  <si>
    <t>改修内容</t>
  </si>
  <si>
    <t>幅：W (mm)</t>
  </si>
  <si>
    <t>高さ：H (mm)</t>
  </si>
  <si>
    <t>大きさの区分</t>
  </si>
  <si>
    <t>発行ポイント数</t>
  </si>
  <si>
    <t>部屋名・設置箇所</t>
  </si>
  <si>
    <t>面積（㎡）</t>
  </si>
  <si>
    <t>必須工事</t>
  </si>
  <si>
    <t>外壁</t>
  </si>
  <si>
    <t>屋根・天井</t>
  </si>
  <si>
    <t>床</t>
  </si>
  <si>
    <t>施工部位</t>
  </si>
  <si>
    <t>断熱材区分</t>
  </si>
  <si>
    <t>断熱の範囲</t>
  </si>
  <si>
    <t>使用量可否</t>
  </si>
  <si>
    <t>エコ住宅設備の種類</t>
  </si>
  <si>
    <t>太陽熱利用システム</t>
  </si>
  <si>
    <t>節水型トイレ</t>
  </si>
  <si>
    <t>高断熱浴槽</t>
  </si>
  <si>
    <t>高効率給湯器</t>
  </si>
  <si>
    <t>節湯水栓</t>
  </si>
  <si>
    <t>手すりの設置</t>
  </si>
  <si>
    <t>浴室の手すり設置</t>
  </si>
  <si>
    <t>便所の手すり設置</t>
  </si>
  <si>
    <t>洗面所の手すり設置</t>
  </si>
  <si>
    <t>浴室・便所・洗面所以外の居室の手すり設置</t>
  </si>
  <si>
    <t>廊下・階段の手すり設置</t>
  </si>
  <si>
    <t>段差解消</t>
  </si>
  <si>
    <t>屋外に面する出入口（玄関・勝手口等）の段差解消工事</t>
  </si>
  <si>
    <t>浴室の段差解消工事</t>
  </si>
  <si>
    <t>屋内（浴室を除く）の段差解消工事</t>
  </si>
  <si>
    <t>廊下幅等の拡張</t>
  </si>
  <si>
    <t>通路の幅を拡張する工事</t>
  </si>
  <si>
    <t>出入口の幅を拡張する工事</t>
  </si>
  <si>
    <t>リフォーム瑕疵保険への加入</t>
  </si>
  <si>
    <t>契約数</t>
  </si>
  <si>
    <t>耐震改修工事の実施</t>
  </si>
  <si>
    <t>実施有無</t>
  </si>
  <si>
    <t>既存住宅の購入</t>
  </si>
  <si>
    <t>設置有無</t>
  </si>
  <si>
    <t>施工内容の種類</t>
  </si>
  <si>
    <t>任意工事</t>
  </si>
  <si>
    <t>注意事項</t>
  </si>
  <si>
    <t>小計</t>
  </si>
  <si>
    <t>（１）窓の断熱改修</t>
  </si>
  <si>
    <t>（２）外壁、屋根・天井又は床の断熱改修</t>
  </si>
  <si>
    <t>（３）設備エコ改修</t>
  </si>
  <si>
    <t>（その他工事等A） バリアフリー改修</t>
  </si>
  <si>
    <t>（その他工事等B） エコ住宅設備の設置</t>
  </si>
  <si>
    <t>(その他工事等C） リフォーム瑕疵保険への加入</t>
  </si>
  <si>
    <t>（その他工事等D）耐震改修</t>
  </si>
  <si>
    <t>（５）既存住宅購入加算</t>
  </si>
  <si>
    <r>
      <t>床</t>
    </r>
    <r>
      <rPr>
        <sz val="7"/>
        <rFont val="HGP創英角ｺﾞｼｯｸUB"/>
        <family val="3"/>
      </rPr>
      <t>(</t>
    </r>
    <r>
      <rPr>
        <sz val="7"/>
        <color indexed="12"/>
        <rFont val="HGP創英角ｺﾞｼｯｸUB"/>
        <family val="3"/>
      </rPr>
      <t>基礎断熱の場合）</t>
    </r>
  </si>
  <si>
    <t>発行ポイント総合計</t>
  </si>
  <si>
    <t>必須工事 発行ポイント合計</t>
  </si>
  <si>
    <t>任意工事 発行ポイント合計</t>
  </si>
  <si>
    <t>お客様名</t>
  </si>
  <si>
    <t>工事名</t>
  </si>
  <si>
    <r>
      <t xml:space="preserve">断熱材使用量
</t>
    </r>
    <r>
      <rPr>
        <sz val="10"/>
        <rFont val="HGP創英角ｺﾞｼｯｸUB"/>
        <family val="3"/>
      </rPr>
      <t>（㎡）</t>
    </r>
  </si>
  <si>
    <t>省エネ住宅ポイント　計算書</t>
  </si>
  <si>
    <t>ツール制作：株式会社ＬＩＸＩＬ　中国支社　商品販促部　（制作責任：中田　淳）</t>
  </si>
  <si>
    <t>○</t>
  </si>
  <si>
    <t>有無</t>
  </si>
  <si>
    <t>数量</t>
  </si>
  <si>
    <t>内窓設置</t>
  </si>
  <si>
    <t>外窓交換</t>
  </si>
  <si>
    <t>ガラス交換</t>
  </si>
  <si>
    <t>窓改修内容</t>
  </si>
  <si>
    <t>A-1・A-2・B・C</t>
  </si>
  <si>
    <t>D・E・F</t>
  </si>
  <si>
    <t>断熱材区分</t>
  </si>
  <si>
    <t>※内窓・外窓はサッシ寸法・ガラス交換はガラス寸法</t>
  </si>
  <si>
    <t>バージョンアップ履歴</t>
  </si>
  <si>
    <t>（３）設備エコ改修と（その他工事等B） エコ住宅設備の設置の重複表示の改善のため数式変更</t>
  </si>
  <si>
    <t>最新バージョン</t>
  </si>
  <si>
    <t>（３）設備エコ改修と（その他工事等B） エコ住宅設備の設置の重複表示の改善のため数式変更。キャラクターイメージの変更。</t>
  </si>
  <si>
    <t>初回リリース</t>
  </si>
  <si>
    <t>Ver.1.0.1</t>
  </si>
  <si>
    <t>Ver.1.2.3</t>
  </si>
  <si>
    <t>Ver.1.3.4</t>
  </si>
  <si>
    <t>Ver.1.4.5</t>
  </si>
  <si>
    <t>Ver.1.5.6</t>
  </si>
  <si>
    <t>Ver.1.6.7</t>
  </si>
  <si>
    <t>Ver.1.7.8</t>
  </si>
  <si>
    <t>Ver.1.1.2</t>
  </si>
  <si>
    <t>Ver.1.8.9</t>
  </si>
  <si>
    <t>日付のロック解除</t>
  </si>
  <si>
    <t>○○邸断熱工事</t>
  </si>
  <si>
    <t>○○　○○様</t>
  </si>
  <si>
    <t>作成日：0000年00月00日</t>
  </si>
  <si>
    <t>Ver.2.0.1</t>
  </si>
  <si>
    <t>入力内容のクリアのマクロを追加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</si>
</sst>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0_ "/>
  </numFmts>
  <fonts count="18">
    <font>
      <sz val="12"/>
      <name val="ＭＳ Ｐゴシック"/>
      <family val="3"/>
    </font>
    <font>
      <sz val="6"/>
      <name val="ＭＳ Ｐゴシック"/>
      <family val="3"/>
    </font>
    <font>
      <sz val="12"/>
      <name val="HGP創英角ｺﾞｼｯｸUB"/>
      <family val="3"/>
    </font>
    <font>
      <sz val="16"/>
      <name val="HGP創英角ｺﾞｼｯｸUB"/>
      <family val="3"/>
    </font>
    <font>
      <sz val="11"/>
      <name val="HGP創英角ｺﾞｼｯｸUB"/>
      <family val="3"/>
    </font>
    <font>
      <sz val="14"/>
      <name val="HGP創英角ｺﾞｼｯｸUB"/>
      <family val="3"/>
    </font>
    <font>
      <sz val="22"/>
      <name val="HGP創英角ｺﾞｼｯｸUB"/>
      <family val="3"/>
    </font>
    <font>
      <sz val="9"/>
      <name val="HGP創英角ｺﾞｼｯｸUB"/>
      <family val="3"/>
    </font>
    <font>
      <sz val="8"/>
      <name val="HGP創英角ｺﾞｼｯｸUB"/>
      <family val="3"/>
    </font>
    <font>
      <sz val="7"/>
      <name val="HGP創英角ｺﾞｼｯｸUB"/>
      <family val="3"/>
    </font>
    <font>
      <sz val="7"/>
      <color indexed="12"/>
      <name val="HGP創英角ｺﾞｼｯｸUB"/>
      <family val="3"/>
    </font>
    <font>
      <sz val="18"/>
      <name val="HGP創英角ｺﾞｼｯｸUB"/>
      <family val="3"/>
    </font>
    <font>
      <sz val="10"/>
      <name val="HGP創英角ｺﾞｼｯｸUB"/>
      <family val="3"/>
    </font>
    <font>
      <sz val="6"/>
      <name val="HGP創英角ｺﾞｼｯｸUB"/>
      <family val="3"/>
    </font>
    <font>
      <sz val="12"/>
      <color indexed="10"/>
      <name val="HGP創英角ｺﾞｼｯｸUB"/>
      <family val="3"/>
    </font>
    <font>
      <sz val="9"/>
      <color indexed="10"/>
      <name val="HGP創英角ｺﾞｼｯｸUB"/>
      <family val="3"/>
    </font>
    <font>
      <b/>
      <sz val="12"/>
      <color indexed="10"/>
      <name val="HGP創英角ｺﾞｼｯｸUB"/>
      <family val="3"/>
    </font>
    <font>
      <b/>
      <sz val="11"/>
      <color indexed="14"/>
      <name val="ＫＦひま字"/>
      <family val="3"/>
    </font>
  </fonts>
  <fills count="7">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s>
  <borders count="50">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thin"/>
      <top style="medium"/>
      <bottom style="medium"/>
    </border>
    <border>
      <left style="medium"/>
      <right style="medium"/>
      <top style="medium"/>
      <bottom>
        <color indexed="63"/>
      </botto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color indexed="63"/>
      </left>
      <right>
        <color indexed="63"/>
      </right>
      <top style="medium"/>
      <bottom>
        <color indexed="63"/>
      </bottom>
    </border>
    <border>
      <left style="thin"/>
      <right style="medium"/>
      <top style="double"/>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5" fillId="0" borderId="1" xfId="0" applyFont="1" applyBorder="1" applyAlignment="1">
      <alignment vertical="center"/>
    </xf>
    <xf numFmtId="0" fontId="5" fillId="0" borderId="0" xfId="0" applyFont="1" applyBorder="1" applyAlignment="1">
      <alignment horizontal="left" vertical="center"/>
    </xf>
    <xf numFmtId="0" fontId="2" fillId="0" borderId="2" xfId="0" applyFont="1" applyBorder="1" applyAlignment="1">
      <alignment vertical="center"/>
    </xf>
    <xf numFmtId="0" fontId="4" fillId="2" borderId="3"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0" borderId="0" xfId="0" applyFont="1" applyAlignment="1">
      <alignment vertical="center"/>
    </xf>
    <xf numFmtId="0" fontId="2" fillId="0" borderId="0" xfId="0" applyFont="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3" fillId="3" borderId="8" xfId="0" applyFont="1" applyFill="1" applyBorder="1" applyAlignment="1">
      <alignment vertical="center"/>
    </xf>
    <xf numFmtId="0" fontId="6" fillId="3" borderId="9" xfId="0" applyFont="1" applyFill="1" applyBorder="1" applyAlignment="1">
      <alignment vertical="center" textRotation="255"/>
    </xf>
    <xf numFmtId="0" fontId="6" fillId="3" borderId="10" xfId="0" applyFont="1" applyFill="1" applyBorder="1" applyAlignment="1">
      <alignment vertical="center" textRotation="255"/>
    </xf>
    <xf numFmtId="0" fontId="5" fillId="3" borderId="11" xfId="0" applyFont="1" applyFill="1" applyBorder="1" applyAlignment="1">
      <alignment horizontal="right" vertical="center"/>
    </xf>
    <xf numFmtId="0" fontId="2" fillId="4" borderId="12"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4" borderId="6" xfId="0" applyFont="1" applyFill="1" applyBorder="1" applyAlignment="1">
      <alignment vertical="center"/>
    </xf>
    <xf numFmtId="0" fontId="2" fillId="4" borderId="13" xfId="0" applyFont="1" applyFill="1" applyBorder="1" applyAlignment="1">
      <alignment vertical="center"/>
    </xf>
    <xf numFmtId="0" fontId="11" fillId="4" borderId="11" xfId="0" applyFont="1" applyFill="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horizontal="center" vertical="center"/>
    </xf>
    <xf numFmtId="0" fontId="2" fillId="5" borderId="6" xfId="0" applyFont="1" applyFill="1" applyBorder="1" applyAlignment="1">
      <alignment vertical="center"/>
    </xf>
    <xf numFmtId="0" fontId="5" fillId="5" borderId="6" xfId="0" applyFont="1" applyFill="1" applyBorder="1" applyAlignment="1">
      <alignment horizontal="right" vertical="center"/>
    </xf>
    <xf numFmtId="38" fontId="5" fillId="5" borderId="18" xfId="16" applyFont="1" applyFill="1" applyBorder="1" applyAlignment="1">
      <alignment vertical="center"/>
    </xf>
    <xf numFmtId="0" fontId="2" fillId="5" borderId="19" xfId="0" applyFont="1" applyFill="1" applyBorder="1" applyAlignment="1">
      <alignment vertical="center"/>
    </xf>
    <xf numFmtId="0" fontId="3" fillId="5" borderId="8"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0" borderId="0" xfId="0" applyFont="1" applyBorder="1" applyAlignment="1">
      <alignment vertical="center"/>
    </xf>
    <xf numFmtId="0" fontId="12" fillId="0" borderId="0" xfId="0" applyFont="1" applyAlignment="1">
      <alignment horizontal="left" vertical="center"/>
    </xf>
    <xf numFmtId="0" fontId="12" fillId="0" borderId="0" xfId="0" applyFont="1" applyBorder="1" applyAlignment="1">
      <alignment vertical="center"/>
    </xf>
    <xf numFmtId="0" fontId="6" fillId="5" borderId="9" xfId="0" applyFont="1" applyFill="1" applyBorder="1" applyAlignment="1">
      <alignment vertical="center" textRotation="255"/>
    </xf>
    <xf numFmtId="0" fontId="2" fillId="0" borderId="20" xfId="0" applyFont="1" applyBorder="1" applyAlignment="1">
      <alignment vertical="center"/>
    </xf>
    <xf numFmtId="0" fontId="4" fillId="2" borderId="21" xfId="0" applyFont="1" applyFill="1" applyBorder="1" applyAlignment="1">
      <alignment horizontal="center" vertical="center"/>
    </xf>
    <xf numFmtId="0" fontId="5" fillId="0" borderId="0" xfId="0" applyFont="1" applyBorder="1" applyAlignment="1">
      <alignment vertical="center"/>
    </xf>
    <xf numFmtId="0" fontId="4" fillId="2" borderId="22" xfId="0" applyFont="1" applyFill="1" applyBorder="1" applyAlignment="1">
      <alignment horizontal="center" vertical="center"/>
    </xf>
    <xf numFmtId="0" fontId="6" fillId="5" borderId="10" xfId="0" applyFont="1" applyFill="1" applyBorder="1" applyAlignment="1">
      <alignment vertical="center" textRotation="255"/>
    </xf>
    <xf numFmtId="0" fontId="4" fillId="3" borderId="3" xfId="0" applyFont="1" applyFill="1" applyBorder="1" applyAlignment="1" applyProtection="1">
      <alignment vertical="center"/>
      <protection locked="0"/>
    </xf>
    <xf numFmtId="0" fontId="4" fillId="6" borderId="3" xfId="0" applyFont="1" applyFill="1" applyBorder="1" applyAlignment="1" applyProtection="1">
      <alignment vertical="center"/>
      <protection locked="0"/>
    </xf>
    <xf numFmtId="38" fontId="4" fillId="6" borderId="3" xfId="16"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4"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3" xfId="0" applyFont="1" applyFill="1" applyBorder="1" applyAlignment="1" applyProtection="1">
      <alignment horizontal="right" vertical="center"/>
      <protection locked="0"/>
    </xf>
    <xf numFmtId="0" fontId="2" fillId="0" borderId="23" xfId="0" applyFont="1" applyBorder="1" applyAlignment="1">
      <alignment vertical="center"/>
    </xf>
    <xf numFmtId="0" fontId="12" fillId="0" borderId="23" xfId="0" applyFont="1" applyBorder="1" applyAlignment="1">
      <alignment horizontal="right" vertical="center"/>
    </xf>
    <xf numFmtId="38" fontId="2" fillId="0" borderId="23" xfId="0" applyNumberFormat="1" applyFont="1" applyBorder="1" applyAlignment="1">
      <alignment vertical="center"/>
    </xf>
    <xf numFmtId="0" fontId="4" fillId="0" borderId="3" xfId="0" applyFont="1" applyBorder="1" applyAlignment="1" applyProtection="1">
      <alignment vertical="center"/>
      <protection hidden="1"/>
    </xf>
    <xf numFmtId="0" fontId="4" fillId="0" borderId="3" xfId="0" applyFont="1" applyBorder="1" applyAlignment="1" applyProtection="1">
      <alignment horizontal="center" vertical="center"/>
      <protection hidden="1"/>
    </xf>
    <xf numFmtId="38" fontId="4" fillId="0" borderId="3" xfId="16" applyFont="1" applyBorder="1" applyAlignment="1" applyProtection="1">
      <alignment vertical="center"/>
      <protection hidden="1"/>
    </xf>
    <xf numFmtId="0" fontId="4" fillId="0" borderId="21"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4" xfId="0" applyFont="1" applyBorder="1" applyAlignment="1" applyProtection="1">
      <alignment horizontal="center" vertical="center"/>
      <protection hidden="1"/>
    </xf>
    <xf numFmtId="38" fontId="4" fillId="0" borderId="4" xfId="16" applyFont="1" applyBorder="1" applyAlignment="1" applyProtection="1">
      <alignment vertical="center"/>
      <protection hidden="1"/>
    </xf>
    <xf numFmtId="0" fontId="4" fillId="0" borderId="22" xfId="0" applyFont="1" applyBorder="1" applyAlignment="1" applyProtection="1">
      <alignment vertical="center"/>
      <protection hidden="1"/>
    </xf>
    <xf numFmtId="0" fontId="4" fillId="0" borderId="16" xfId="0" applyFont="1" applyFill="1" applyBorder="1" applyAlignment="1" applyProtection="1">
      <alignment vertical="center"/>
      <protection hidden="1"/>
    </xf>
    <xf numFmtId="0" fontId="4" fillId="0" borderId="17" xfId="0" applyFont="1" applyFill="1" applyBorder="1" applyAlignment="1" applyProtection="1">
      <alignment horizontal="center" vertical="center"/>
      <protection hidden="1"/>
    </xf>
    <xf numFmtId="38" fontId="4" fillId="0" borderId="17" xfId="16" applyFont="1" applyFill="1" applyBorder="1" applyAlignment="1" applyProtection="1">
      <alignment vertical="center"/>
      <protection hidden="1"/>
    </xf>
    <xf numFmtId="0" fontId="4" fillId="0" borderId="24" xfId="0" applyFont="1" applyFill="1" applyBorder="1" applyAlignment="1" applyProtection="1">
      <alignment vertical="center"/>
      <protection hidden="1"/>
    </xf>
    <xf numFmtId="0" fontId="4" fillId="0" borderId="21" xfId="0" applyFont="1" applyBorder="1" applyAlignment="1" applyProtection="1">
      <alignment vertical="center" shrinkToFit="1"/>
      <protection hidden="1"/>
    </xf>
    <xf numFmtId="0" fontId="4" fillId="0" borderId="22" xfId="0" applyFont="1" applyBorder="1" applyAlignment="1" applyProtection="1">
      <alignment vertical="center" shrinkToFit="1"/>
      <protection hidden="1"/>
    </xf>
    <xf numFmtId="38" fontId="4" fillId="0" borderId="25" xfId="16" applyFont="1" applyBorder="1" applyAlignment="1" applyProtection="1">
      <alignment vertical="center"/>
      <protection hidden="1"/>
    </xf>
    <xf numFmtId="38" fontId="4" fillId="0" borderId="26" xfId="16" applyFont="1" applyBorder="1" applyAlignment="1" applyProtection="1">
      <alignment vertical="center"/>
      <protection hidden="1"/>
    </xf>
    <xf numFmtId="38" fontId="4" fillId="0" borderId="14" xfId="16" applyFont="1" applyFill="1" applyBorder="1" applyAlignment="1" applyProtection="1">
      <alignment vertical="center"/>
      <protection hidden="1"/>
    </xf>
    <xf numFmtId="38" fontId="4" fillId="0" borderId="3" xfId="16" applyFont="1" applyBorder="1" applyAlignment="1" applyProtection="1">
      <alignment vertical="center" shrinkToFit="1"/>
      <protection hidden="1"/>
    </xf>
    <xf numFmtId="38" fontId="4" fillId="0" borderId="4" xfId="16" applyFont="1" applyFill="1" applyBorder="1" applyAlignment="1" applyProtection="1">
      <alignment vertical="center" shrinkToFit="1"/>
      <protection hidden="1"/>
    </xf>
    <xf numFmtId="0" fontId="4" fillId="0" borderId="22" xfId="0" applyFont="1" applyFill="1" applyBorder="1" applyAlignment="1" applyProtection="1">
      <alignment vertical="center"/>
      <protection hidden="1"/>
    </xf>
    <xf numFmtId="38" fontId="5" fillId="3" borderId="18" xfId="16" applyFont="1" applyFill="1" applyBorder="1" applyAlignment="1" applyProtection="1">
      <alignment vertical="center"/>
      <protection hidden="1"/>
    </xf>
    <xf numFmtId="38" fontId="4" fillId="3" borderId="19" xfId="16" applyFont="1" applyFill="1" applyBorder="1" applyAlignment="1" applyProtection="1">
      <alignment vertical="center"/>
      <protection hidden="1"/>
    </xf>
    <xf numFmtId="38" fontId="11" fillId="4" borderId="18" xfId="16" applyFont="1" applyFill="1" applyBorder="1" applyAlignment="1" applyProtection="1">
      <alignment vertical="center"/>
      <protection hidden="1"/>
    </xf>
    <xf numFmtId="0" fontId="4" fillId="4" borderId="19" xfId="0" applyFont="1" applyFill="1" applyBorder="1" applyAlignment="1" applyProtection="1">
      <alignment vertical="center" shrinkToFit="1"/>
      <protection hidden="1"/>
    </xf>
    <xf numFmtId="0" fontId="8" fillId="0" borderId="0" xfId="0" applyFont="1" applyBorder="1" applyAlignment="1" applyProtection="1">
      <alignment horizontal="right" vertical="center"/>
      <protection hidden="1"/>
    </xf>
    <xf numFmtId="182" fontId="4" fillId="0" borderId="3" xfId="0" applyNumberFormat="1" applyFont="1" applyBorder="1" applyAlignment="1" applyProtection="1">
      <alignment vertical="center"/>
      <protection hidden="1"/>
    </xf>
    <xf numFmtId="0" fontId="2" fillId="0" borderId="0" xfId="0" applyFont="1" applyAlignment="1" applyProtection="1">
      <alignment horizontal="right" vertical="center"/>
      <protection locked="0"/>
    </xf>
    <xf numFmtId="0" fontId="4" fillId="2" borderId="5" xfId="0" applyFont="1" applyFill="1" applyBorder="1" applyAlignment="1">
      <alignment horizontal="center" vertical="center"/>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6" xfId="0" applyFont="1" applyFill="1" applyBorder="1" applyAlignment="1">
      <alignment horizontal="center"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2" borderId="25"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8" fillId="0" borderId="42" xfId="0" applyFont="1" applyBorder="1" applyAlignment="1">
      <alignment horizontal="left" wrapText="1"/>
    </xf>
    <xf numFmtId="0" fontId="11" fillId="0" borderId="0" xfId="0" applyFont="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2" fillId="0" borderId="0" xfId="0" applyFont="1" applyBorder="1" applyAlignment="1">
      <alignment horizontal="center" vertical="center"/>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2</xdr:row>
      <xdr:rowOff>104775</xdr:rowOff>
    </xdr:from>
    <xdr:to>
      <xdr:col>5</xdr:col>
      <xdr:colOff>847725</xdr:colOff>
      <xdr:row>5</xdr:row>
      <xdr:rowOff>171450</xdr:rowOff>
    </xdr:to>
    <xdr:pic>
      <xdr:nvPicPr>
        <xdr:cNvPr id="1" name="Picture 127"/>
        <xdr:cNvPicPr preferRelativeResize="1">
          <a:picLocks noChangeAspect="1"/>
        </xdr:cNvPicPr>
      </xdr:nvPicPr>
      <xdr:blipFill>
        <a:blip r:embed="rId1"/>
        <a:srcRect l="16557" t="11595" r="6898" b="11595"/>
        <a:stretch>
          <a:fillRect/>
        </a:stretch>
      </xdr:blipFill>
      <xdr:spPr>
        <a:xfrm>
          <a:off x="2305050" y="600075"/>
          <a:ext cx="828675" cy="638175"/>
        </a:xfrm>
        <a:prstGeom prst="rect">
          <a:avLst/>
        </a:prstGeom>
        <a:noFill/>
        <a:ln w="9525" cmpd="sng">
          <a:noFill/>
        </a:ln>
      </xdr:spPr>
    </xdr:pic>
    <xdr:clientData/>
  </xdr:twoCellAnchor>
  <xdr:twoCellAnchor>
    <xdr:from>
      <xdr:col>0</xdr:col>
      <xdr:colOff>38100</xdr:colOff>
      <xdr:row>3</xdr:row>
      <xdr:rowOff>28575</xdr:rowOff>
    </xdr:from>
    <xdr:to>
      <xdr:col>4</xdr:col>
      <xdr:colOff>600075</xdr:colOff>
      <xdr:row>5</xdr:row>
      <xdr:rowOff>76200</xdr:rowOff>
    </xdr:to>
    <xdr:sp>
      <xdr:nvSpPr>
        <xdr:cNvPr id="2" name="AutoShape 26"/>
        <xdr:cNvSpPr>
          <a:spLocks/>
        </xdr:cNvSpPr>
      </xdr:nvSpPr>
      <xdr:spPr>
        <a:xfrm>
          <a:off x="38100" y="714375"/>
          <a:ext cx="1962150" cy="428625"/>
        </a:xfrm>
        <a:prstGeom prst="rect"/>
        <a:noFill/>
      </xdr:spPr>
      <xdr:txBody>
        <a:bodyPr fromWordArt="1" wrap="none">
          <a:prstTxWarp prst="textPlain"/>
        </a:bodyPr>
        <a:p>
          <a:pPr algn="ctr"/>
          <a:r>
            <a:rPr sz="3600" kern="10" spc="0">
              <a:ln w="19050" cmpd="sng">
                <a:solidFill>
                  <a:srgbClr val="99CC00"/>
                </a:solidFill>
                <a:headEnd type="none"/>
                <a:tailEnd type="none"/>
              </a:ln>
              <a:solidFill>
                <a:srgbClr val="008000"/>
              </a:solidFill>
              <a:effectLst>
                <a:outerShdw dist="35921" dir="2700000" algn="ctr">
                  <a:srgbClr val="990000">
                    <a:alpha val="100000"/>
                  </a:srgbClr>
                </a:outerShdw>
              </a:effectLst>
              <a:latin typeface="ＭＳ Ｐゴシック"/>
              <a:cs typeface="ＭＳ Ｐゴシック"/>
            </a:rPr>
            <a:t>エネポン</a:t>
          </a:r>
        </a:p>
      </xdr:txBody>
    </xdr:sp>
    <xdr:clientData/>
  </xdr:twoCellAnchor>
  <xdr:twoCellAnchor>
    <xdr:from>
      <xdr:col>0</xdr:col>
      <xdr:colOff>0</xdr:colOff>
      <xdr:row>0</xdr:row>
      <xdr:rowOff>238125</xdr:rowOff>
    </xdr:from>
    <xdr:to>
      <xdr:col>5</xdr:col>
      <xdr:colOff>847725</xdr:colOff>
      <xdr:row>3</xdr:row>
      <xdr:rowOff>28575</xdr:rowOff>
    </xdr:to>
    <xdr:sp>
      <xdr:nvSpPr>
        <xdr:cNvPr id="3" name="TextBox 27"/>
        <xdr:cNvSpPr txBox="1">
          <a:spLocks noChangeArrowheads="1"/>
        </xdr:cNvSpPr>
      </xdr:nvSpPr>
      <xdr:spPr>
        <a:xfrm>
          <a:off x="0" y="238125"/>
          <a:ext cx="3133725" cy="476250"/>
        </a:xfrm>
        <a:prstGeom prst="rect">
          <a:avLst/>
        </a:prstGeom>
        <a:noFill/>
        <a:ln w="9525" cmpd="sng">
          <a:noFill/>
        </a:ln>
      </xdr:spPr>
      <xdr:txBody>
        <a:bodyPr vertOverflow="clip" wrap="square" anchor="ctr"/>
        <a:p>
          <a:pPr algn="l">
            <a:defRPr/>
          </a:pPr>
          <a:r>
            <a:rPr lang="en-US" cap="none" sz="1000" b="0" i="0" u="none" baseline="0">
              <a:latin typeface="HGP創英角ｺﾞｼｯｸUB"/>
              <a:ea typeface="HGP創英角ｺﾞｼｯｸUB"/>
              <a:cs typeface="HGP創英角ｺﾞｼｯｸUB"/>
            </a:rPr>
            <a:t>省エネ住宅ポイント制度 リフォーム用 ポイント計算ツール</a:t>
          </a:r>
          <a:r>
            <a:rPr lang="en-US" cap="none" sz="800" b="0" i="0" u="none" baseline="0">
              <a:latin typeface="HGP創英角ｺﾞｼｯｸUB"/>
              <a:ea typeface="HGP創英角ｺﾞｼｯｸUB"/>
              <a:cs typeface="HGP創英角ｺﾞｼｯｸUB"/>
            </a:rPr>
            <a:t>
</a:t>
          </a:r>
          <a:r>
            <a:rPr lang="en-US" cap="none" sz="900" b="0" i="0" u="none" baseline="0">
              <a:latin typeface="HGP創英角ｺﾞｼｯｸUB"/>
              <a:ea typeface="HGP創英角ｺﾞｼｯｸUB"/>
              <a:cs typeface="HGP創英角ｺﾞｼｯｸUB"/>
            </a:rPr>
            <a:t>Calculating Table of </a:t>
          </a:r>
          <a:r>
            <a:rPr lang="en-US" cap="none" sz="900" b="0" i="0" u="none" baseline="0">
              <a:solidFill>
                <a:srgbClr val="FF0000"/>
              </a:solidFill>
              <a:latin typeface="HGP創英角ｺﾞｼｯｸUB"/>
              <a:ea typeface="HGP創英角ｺﾞｼｯｸUB"/>
              <a:cs typeface="HGP創英角ｺﾞｼｯｸUB"/>
            </a:rPr>
            <a:t>Ene</a:t>
          </a:r>
          <a:r>
            <a:rPr lang="en-US" cap="none" sz="900" b="0" i="0" u="none" baseline="0">
              <a:latin typeface="HGP創英角ｺﾞｼｯｸUB"/>
              <a:ea typeface="HGP創英角ｺﾞｼｯｸUB"/>
              <a:cs typeface="HGP創英角ｺﾞｼｯｸUB"/>
            </a:rPr>
            <a:t>rgy conservation </a:t>
          </a:r>
          <a:r>
            <a:rPr lang="en-US" cap="none" sz="900" b="0" i="0" u="none" baseline="0">
              <a:solidFill>
                <a:srgbClr val="FF0000"/>
              </a:solidFill>
              <a:latin typeface="HGP創英角ｺﾞｼｯｸUB"/>
              <a:ea typeface="HGP創英角ｺﾞｼｯｸUB"/>
              <a:cs typeface="HGP創英角ｺﾞｼｯｸUB"/>
            </a:rPr>
            <a:t>Po</a:t>
          </a:r>
          <a:r>
            <a:rPr lang="en-US" cap="none" sz="900" b="0" i="0" u="none" baseline="0">
              <a:latin typeface="HGP創英角ｺﾞｼｯｸUB"/>
              <a:ea typeface="HGP創英角ｺﾞｼｯｸUB"/>
              <a:cs typeface="HGP創英角ｺﾞｼｯｸUB"/>
            </a:rPr>
            <a:t>i</a:t>
          </a:r>
          <a:r>
            <a:rPr lang="en-US" cap="none" sz="900" b="0" i="0" u="none" baseline="0">
              <a:solidFill>
                <a:srgbClr val="FF0000"/>
              </a:solidFill>
              <a:latin typeface="HGP創英角ｺﾞｼｯｸUB"/>
              <a:ea typeface="HGP創英角ｺﾞｼｯｸUB"/>
              <a:cs typeface="HGP創英角ｺﾞｼｯｸUB"/>
            </a:rPr>
            <a:t>n</a:t>
          </a:r>
          <a:r>
            <a:rPr lang="en-US" cap="none" sz="900" b="0" i="0" u="none" baseline="0">
              <a:latin typeface="HGP創英角ｺﾞｼｯｸUB"/>
              <a:ea typeface="HGP創英角ｺﾞｼｯｸUB"/>
              <a:cs typeface="HGP創英角ｺﾞｼｯｸUB"/>
            </a:rPr>
            <a:t>t for Housing , Specialized in a reform</a:t>
          </a:r>
        </a:p>
      </xdr:txBody>
    </xdr:sp>
    <xdr:clientData/>
  </xdr:twoCellAnchor>
  <xdr:twoCellAnchor>
    <xdr:from>
      <xdr:col>10</xdr:col>
      <xdr:colOff>523875</xdr:colOff>
      <xdr:row>2</xdr:row>
      <xdr:rowOff>0</xdr:rowOff>
    </xdr:from>
    <xdr:to>
      <xdr:col>10</xdr:col>
      <xdr:colOff>3752850</xdr:colOff>
      <xdr:row>6</xdr:row>
      <xdr:rowOff>85725</xdr:rowOff>
    </xdr:to>
    <xdr:sp fLocksText="0">
      <xdr:nvSpPr>
        <xdr:cNvPr id="4" name="TextBox 49"/>
        <xdr:cNvSpPr txBox="1">
          <a:spLocks noChangeArrowheads="1"/>
        </xdr:cNvSpPr>
      </xdr:nvSpPr>
      <xdr:spPr>
        <a:xfrm>
          <a:off x="7534275" y="495300"/>
          <a:ext cx="322897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HGP創英角ｺﾞｼｯｸUB"/>
              <a:ea typeface="HGP創英角ｺﾞｼｯｸUB"/>
              <a:cs typeface="HGP創英角ｺﾞｼｯｸUB"/>
            </a:rPr>
            <a:t>○○○○株式会社</a:t>
          </a:r>
          <a:r>
            <a:rPr lang="en-US" cap="none" sz="1000" b="0" i="0" u="none" baseline="0">
              <a:latin typeface="HGP創英角ｺﾞｼｯｸUB"/>
              <a:ea typeface="HGP創英角ｺﾞｼｯｸUB"/>
              <a:cs typeface="HGP創英角ｺﾞｼｯｸUB"/>
            </a:rPr>
            <a:t>
</a:t>
          </a:r>
          <a:r>
            <a:rPr lang="en-US" cap="none" sz="1200" b="0" i="0" u="none" baseline="0">
              <a:latin typeface="HGP創英角ｺﾞｼｯｸUB"/>
              <a:ea typeface="HGP創英角ｺﾞｼｯｸUB"/>
              <a:cs typeface="HGP創英角ｺﾞｼｯｸUB"/>
            </a:rPr>
            <a:t>住所：広島県広島市安佐南区西原00-00-00
電話：000-000-0000
担当者名：○○ ○○</a:t>
          </a:r>
        </a:p>
      </xdr:txBody>
    </xdr:sp>
    <xdr:clientData fLocksWithSheet="0"/>
  </xdr:twoCellAnchor>
  <xdr:twoCellAnchor editAs="oneCell">
    <xdr:from>
      <xdr:col>0</xdr:col>
      <xdr:colOff>19050</xdr:colOff>
      <xdr:row>0</xdr:row>
      <xdr:rowOff>19050</xdr:rowOff>
    </xdr:from>
    <xdr:to>
      <xdr:col>3</xdr:col>
      <xdr:colOff>371475</xdr:colOff>
      <xdr:row>0</xdr:row>
      <xdr:rowOff>247650</xdr:rowOff>
    </xdr:to>
    <xdr:pic>
      <xdr:nvPicPr>
        <xdr:cNvPr id="5" name="Picture 51"/>
        <xdr:cNvPicPr preferRelativeResize="1">
          <a:picLocks noChangeAspect="1"/>
        </xdr:cNvPicPr>
      </xdr:nvPicPr>
      <xdr:blipFill>
        <a:blip r:embed="rId2"/>
        <a:stretch>
          <a:fillRect/>
        </a:stretch>
      </xdr:blipFill>
      <xdr:spPr>
        <a:xfrm>
          <a:off x="19050" y="19050"/>
          <a:ext cx="609600" cy="228600"/>
        </a:xfrm>
        <a:prstGeom prst="rect">
          <a:avLst/>
        </a:prstGeom>
        <a:noFill/>
        <a:ln w="9525" cmpd="sng">
          <a:noFill/>
        </a:ln>
      </xdr:spPr>
    </xdr:pic>
    <xdr:clientData/>
  </xdr:twoCellAnchor>
  <xdr:twoCellAnchor>
    <xdr:from>
      <xdr:col>0</xdr:col>
      <xdr:colOff>76200</xdr:colOff>
      <xdr:row>90</xdr:row>
      <xdr:rowOff>76200</xdr:rowOff>
    </xdr:from>
    <xdr:to>
      <xdr:col>10</xdr:col>
      <xdr:colOff>3667125</xdr:colOff>
      <xdr:row>96</xdr:row>
      <xdr:rowOff>47625</xdr:rowOff>
    </xdr:to>
    <xdr:sp>
      <xdr:nvSpPr>
        <xdr:cNvPr id="6" name="TextBox 54"/>
        <xdr:cNvSpPr txBox="1">
          <a:spLocks noChangeArrowheads="1"/>
        </xdr:cNvSpPr>
      </xdr:nvSpPr>
      <xdr:spPr>
        <a:xfrm>
          <a:off x="76200" y="15659100"/>
          <a:ext cx="1060132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HGP創英角ｺﾞｼｯｸUB"/>
              <a:ea typeface="HGP創英角ｺﾞｼｯｸUB"/>
              <a:cs typeface="HGP創英角ｺﾞｼｯｸUB"/>
            </a:rPr>
            <a:t>【大切なお願い：このポイント計算ツールを利用する方へ】</a:t>
          </a:r>
          <a:r>
            <a:rPr lang="en-US" cap="none" sz="1200" b="0" i="0" u="none" baseline="0">
              <a:latin typeface="HGP創英角ｺﾞｼｯｸUB"/>
              <a:ea typeface="HGP創英角ｺﾞｼｯｸUB"/>
              <a:cs typeface="HGP創英角ｺﾞｼｯｸUB"/>
            </a:rPr>
            <a:t>
</a:t>
          </a:r>
          <a:r>
            <a:rPr lang="en-US" cap="none" sz="1200" b="1" i="0" u="none" baseline="0">
              <a:solidFill>
                <a:srgbClr val="FF0000"/>
              </a:solidFill>
              <a:latin typeface="HGP創英角ｺﾞｼｯｸUB"/>
              <a:ea typeface="HGP創英角ｺﾞｼｯｸUB"/>
              <a:cs typeface="HGP創英角ｺﾞｼｯｸUB"/>
            </a:rPr>
            <a:t>この「省エネ住宅ポイント計算ツール『エネポン』」は最終的なポイントの受領を保証するものではありません。</a:t>
          </a:r>
          <a:r>
            <a:rPr lang="en-US" cap="none" sz="1200" b="0" i="0" u="none" baseline="0">
              <a:latin typeface="HGP創英角ｺﾞｼｯｸUB"/>
              <a:ea typeface="HGP創英角ｺﾞｼｯｸUB"/>
              <a:cs typeface="HGP創英角ｺﾞｼｯｸUB"/>
            </a:rPr>
            <a:t>
発行ポイントの最終的な確認は、省エネ住宅ポイントの窓口にて確認をお願いいたします。
発行ポイントは、実際の工事内容や実際に申請された内容などによって異なる場合があります。
ポイント計算を簡単にする事を目的として作成したものですので、このツールで算出されたポイントは参考としてご利用ください。</a:t>
          </a:r>
        </a:p>
      </xdr:txBody>
    </xdr:sp>
    <xdr:clientData/>
  </xdr:twoCellAnchor>
  <xdr:twoCellAnchor editAs="absolute">
    <xdr:from>
      <xdr:col>3</xdr:col>
      <xdr:colOff>933450</xdr:colOff>
      <xdr:row>47</xdr:row>
      <xdr:rowOff>95250</xdr:rowOff>
    </xdr:from>
    <xdr:to>
      <xdr:col>4</xdr:col>
      <xdr:colOff>190500</xdr:colOff>
      <xdr:row>47</xdr:row>
      <xdr:rowOff>285750</xdr:rowOff>
    </xdr:to>
    <xdr:sp>
      <xdr:nvSpPr>
        <xdr:cNvPr id="7" name="Rectangle 56"/>
        <xdr:cNvSpPr>
          <a:spLocks/>
        </xdr:cNvSpPr>
      </xdr:nvSpPr>
      <xdr:spPr>
        <a:xfrm>
          <a:off x="1190625" y="8343900"/>
          <a:ext cx="400050"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190500</xdr:colOff>
      <xdr:row>47</xdr:row>
      <xdr:rowOff>95250</xdr:rowOff>
    </xdr:from>
    <xdr:to>
      <xdr:col>10</xdr:col>
      <xdr:colOff>276225</xdr:colOff>
      <xdr:row>47</xdr:row>
      <xdr:rowOff>285750</xdr:rowOff>
    </xdr:to>
    <xdr:sp>
      <xdr:nvSpPr>
        <xdr:cNvPr id="8" name="Rectangle 59"/>
        <xdr:cNvSpPr>
          <a:spLocks/>
        </xdr:cNvSpPr>
      </xdr:nvSpPr>
      <xdr:spPr>
        <a:xfrm>
          <a:off x="1590675" y="8343900"/>
          <a:ext cx="5695950" cy="190500"/>
        </a:xfrm>
        <a:prstGeom prst="rect">
          <a:avLst/>
        </a:prstGeom>
        <a:noFill/>
        <a:ln w="9525" cmpd="sng">
          <a:noFill/>
        </a:ln>
      </xdr:spPr>
      <xdr:txBody>
        <a:bodyPr vertOverflow="clip" wrap="square"/>
        <a:p>
          <a:pPr algn="l">
            <a:defRPr/>
          </a:pPr>
          <a:r>
            <a:rPr lang="en-US" cap="none" sz="1100" b="0" i="0" u="none" baseline="0"/>
            <a:t>該当する工事の、この色のセルの選択項目を選択。または、数値を入力してください。</a:t>
          </a:r>
        </a:p>
      </xdr:txBody>
    </xdr:sp>
    <xdr:clientData/>
  </xdr:twoCellAnchor>
  <xdr:twoCellAnchor>
    <xdr:from>
      <xdr:col>4</xdr:col>
      <xdr:colOff>381000</xdr:colOff>
      <xdr:row>2</xdr:row>
      <xdr:rowOff>66675</xdr:rowOff>
    </xdr:from>
    <xdr:to>
      <xdr:col>5</xdr:col>
      <xdr:colOff>85725</xdr:colOff>
      <xdr:row>3</xdr:row>
      <xdr:rowOff>152400</xdr:rowOff>
    </xdr:to>
    <xdr:sp>
      <xdr:nvSpPr>
        <xdr:cNvPr id="9" name="AutoShape 60"/>
        <xdr:cNvSpPr>
          <a:spLocks/>
        </xdr:cNvSpPr>
      </xdr:nvSpPr>
      <xdr:spPr>
        <a:xfrm>
          <a:off x="1781175" y="561975"/>
          <a:ext cx="590550" cy="276225"/>
        </a:xfrm>
        <a:prstGeom prst="wedgeRoundRectCallout">
          <a:avLst>
            <a:gd name="adj1" fmla="val 46773"/>
            <a:gd name="adj2" fmla="val 75925"/>
          </a:avLst>
        </a:prstGeom>
        <a:solidFill>
          <a:srgbClr val="FFFFFF"/>
        </a:solidFill>
        <a:ln w="9525" cmpd="sng">
          <a:solidFill>
            <a:srgbClr val="000000"/>
          </a:solidFill>
          <a:headEnd type="none"/>
          <a:tailEnd type="none"/>
        </a:ln>
      </xdr:spPr>
      <xdr:txBody>
        <a:bodyPr vertOverflow="clip" wrap="square" lIns="0" tIns="10800" rIns="0" bIns="10800"/>
        <a:p>
          <a:pPr algn="ctr">
            <a:defRPr/>
          </a:pPr>
          <a:r>
            <a:rPr lang="en-US" cap="none" sz="600" b="0" i="0" u="none" baseline="0"/>
            <a:t>ポイントを
ポンポン計算！</a:t>
          </a:r>
        </a:p>
      </xdr:txBody>
    </xdr:sp>
    <xdr:clientData/>
  </xdr:twoCellAnchor>
  <xdr:twoCellAnchor editAs="absolute">
    <xdr:from>
      <xdr:col>3</xdr:col>
      <xdr:colOff>933450</xdr:colOff>
      <xdr:row>7</xdr:row>
      <xdr:rowOff>57150</xdr:rowOff>
    </xdr:from>
    <xdr:to>
      <xdr:col>4</xdr:col>
      <xdr:colOff>190500</xdr:colOff>
      <xdr:row>7</xdr:row>
      <xdr:rowOff>247650</xdr:rowOff>
    </xdr:to>
    <xdr:sp>
      <xdr:nvSpPr>
        <xdr:cNvPr id="10" name="Rectangle 61"/>
        <xdr:cNvSpPr>
          <a:spLocks/>
        </xdr:cNvSpPr>
      </xdr:nvSpPr>
      <xdr:spPr>
        <a:xfrm>
          <a:off x="1190625" y="1524000"/>
          <a:ext cx="400050"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190500</xdr:colOff>
      <xdr:row>7</xdr:row>
      <xdr:rowOff>57150</xdr:rowOff>
    </xdr:from>
    <xdr:to>
      <xdr:col>10</xdr:col>
      <xdr:colOff>276225</xdr:colOff>
      <xdr:row>7</xdr:row>
      <xdr:rowOff>247650</xdr:rowOff>
    </xdr:to>
    <xdr:sp>
      <xdr:nvSpPr>
        <xdr:cNvPr id="11" name="Rectangle 62"/>
        <xdr:cNvSpPr>
          <a:spLocks/>
        </xdr:cNvSpPr>
      </xdr:nvSpPr>
      <xdr:spPr>
        <a:xfrm>
          <a:off x="1590675" y="1524000"/>
          <a:ext cx="5695950" cy="190500"/>
        </a:xfrm>
        <a:prstGeom prst="rect">
          <a:avLst/>
        </a:prstGeom>
        <a:noFill/>
        <a:ln w="9525" cmpd="sng">
          <a:noFill/>
        </a:ln>
      </xdr:spPr>
      <xdr:txBody>
        <a:bodyPr vertOverflow="clip" wrap="square"/>
        <a:p>
          <a:pPr algn="l">
            <a:defRPr/>
          </a:pPr>
          <a:r>
            <a:rPr lang="en-US" cap="none" sz="1100" b="0" i="0" u="none" baseline="0"/>
            <a:t>該当する工事の、この色のセルの選択項目を選択。または、数値を入力してください。</a:t>
          </a:r>
        </a:p>
      </xdr:txBody>
    </xdr:sp>
    <xdr:clientData/>
  </xdr:twoCellAnchor>
  <xdr:twoCellAnchor editAs="absolute">
    <xdr:from>
      <xdr:col>9</xdr:col>
      <xdr:colOff>981075</xdr:colOff>
      <xdr:row>7</xdr:row>
      <xdr:rowOff>57150</xdr:rowOff>
    </xdr:from>
    <xdr:to>
      <xdr:col>10</xdr:col>
      <xdr:colOff>238125</xdr:colOff>
      <xdr:row>7</xdr:row>
      <xdr:rowOff>247650</xdr:rowOff>
    </xdr:to>
    <xdr:sp>
      <xdr:nvSpPr>
        <xdr:cNvPr id="12" name="Rectangle 63"/>
        <xdr:cNvSpPr>
          <a:spLocks/>
        </xdr:cNvSpPr>
      </xdr:nvSpPr>
      <xdr:spPr>
        <a:xfrm>
          <a:off x="6848475" y="1524000"/>
          <a:ext cx="400050" cy="1905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238125</xdr:colOff>
      <xdr:row>7</xdr:row>
      <xdr:rowOff>57150</xdr:rowOff>
    </xdr:from>
    <xdr:to>
      <xdr:col>10</xdr:col>
      <xdr:colOff>3724275</xdr:colOff>
      <xdr:row>7</xdr:row>
      <xdr:rowOff>247650</xdr:rowOff>
    </xdr:to>
    <xdr:sp>
      <xdr:nvSpPr>
        <xdr:cNvPr id="13" name="Rectangle 64"/>
        <xdr:cNvSpPr>
          <a:spLocks/>
        </xdr:cNvSpPr>
      </xdr:nvSpPr>
      <xdr:spPr>
        <a:xfrm>
          <a:off x="7248525" y="1524000"/>
          <a:ext cx="3486150" cy="190500"/>
        </a:xfrm>
        <a:prstGeom prst="rect">
          <a:avLst/>
        </a:prstGeom>
        <a:noFill/>
        <a:ln w="9525" cmpd="sng">
          <a:noFill/>
        </a:ln>
      </xdr:spPr>
      <xdr:txBody>
        <a:bodyPr vertOverflow="clip" wrap="square"/>
        <a:p>
          <a:pPr algn="l">
            <a:defRPr/>
          </a:pPr>
          <a:r>
            <a:rPr lang="en-US" cap="none" sz="1100" b="0" i="0" u="none" baseline="0"/>
            <a:t>この色のセルの入力は任意です。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91"/>
  <sheetViews>
    <sheetView showGridLines="0" tabSelected="1" zoomScale="110" zoomScaleNormal="110" workbookViewId="0" topLeftCell="A1">
      <selection activeCell="H13" sqref="H13"/>
    </sheetView>
  </sheetViews>
  <sheetFormatPr defaultColWidth="9.00390625" defaultRowHeight="14.25"/>
  <cols>
    <col min="1" max="2" width="1.25" style="1" customWidth="1"/>
    <col min="3" max="3" width="0.875" style="1" customWidth="1"/>
    <col min="4" max="4" width="15.00390625" style="1" customWidth="1"/>
    <col min="5" max="7" width="11.625" style="1" customWidth="1"/>
    <col min="8" max="8" width="12.125" style="1" customWidth="1"/>
    <col min="9" max="9" width="11.625" style="1" customWidth="1"/>
    <col min="10" max="10" width="15.00390625" style="1" bestFit="1" customWidth="1"/>
    <col min="11" max="11" width="50.375" style="1" customWidth="1"/>
    <col min="12" max="16384" width="9.00390625" style="1" customWidth="1"/>
  </cols>
  <sheetData>
    <row r="1" spans="1:11" ht="23.25">
      <c r="A1" s="123" t="s">
        <v>59</v>
      </c>
      <c r="B1" s="123"/>
      <c r="C1" s="123"/>
      <c r="D1" s="123"/>
      <c r="E1" s="123"/>
      <c r="F1" s="123"/>
      <c r="G1" s="123"/>
      <c r="H1" s="123"/>
      <c r="I1" s="123"/>
      <c r="J1" s="123"/>
      <c r="K1" s="123"/>
    </row>
    <row r="2" spans="2:11" ht="15.75" thickBot="1">
      <c r="B2" s="127"/>
      <c r="C2" s="127"/>
      <c r="D2" s="127"/>
      <c r="E2" s="44"/>
      <c r="F2" s="44"/>
      <c r="G2" s="44"/>
      <c r="H2" s="5"/>
      <c r="I2" s="18"/>
      <c r="J2" s="18"/>
      <c r="K2" s="88" t="s">
        <v>89</v>
      </c>
    </row>
    <row r="3" spans="2:10" ht="15">
      <c r="B3" s="42"/>
      <c r="C3" s="42"/>
      <c r="D3" s="42"/>
      <c r="E3" s="42"/>
      <c r="F3" s="42"/>
      <c r="G3" s="126" t="s">
        <v>57</v>
      </c>
      <c r="H3" s="128" t="s">
        <v>87</v>
      </c>
      <c r="I3" s="128"/>
      <c r="J3" s="129"/>
    </row>
    <row r="4" spans="2:10" ht="15">
      <c r="B4" s="42"/>
      <c r="C4" s="42"/>
      <c r="D4" s="42"/>
      <c r="E4" s="42"/>
      <c r="F4" s="42"/>
      <c r="G4" s="124"/>
      <c r="H4" s="130"/>
      <c r="I4" s="130"/>
      <c r="J4" s="131"/>
    </row>
    <row r="5" spans="2:10" ht="15">
      <c r="B5" s="42"/>
      <c r="C5" s="42"/>
      <c r="D5" s="42"/>
      <c r="E5" s="42"/>
      <c r="F5" s="42"/>
      <c r="G5" s="124" t="s">
        <v>56</v>
      </c>
      <c r="H5" s="130" t="s">
        <v>88</v>
      </c>
      <c r="I5" s="130"/>
      <c r="J5" s="131"/>
    </row>
    <row r="6" spans="2:10" ht="15.75" thickBot="1">
      <c r="B6" s="42"/>
      <c r="C6" s="42"/>
      <c r="D6" s="42"/>
      <c r="E6" s="86" t="str">
        <f>'バージョンアップ履歴'!A3</f>
        <v>Ver.2.0.1</v>
      </c>
      <c r="F6" s="42"/>
      <c r="G6" s="125"/>
      <c r="H6" s="132"/>
      <c r="I6" s="132"/>
      <c r="J6" s="133"/>
    </row>
    <row r="7" spans="1:6" ht="15.75" thickBot="1">
      <c r="A7" s="43" t="s">
        <v>60</v>
      </c>
      <c r="E7" s="17"/>
      <c r="F7" s="17"/>
    </row>
    <row r="8" spans="1:11" ht="24.75" customHeight="1" thickBot="1">
      <c r="A8" s="25"/>
      <c r="B8" s="39" t="s">
        <v>7</v>
      </c>
      <c r="C8" s="40"/>
      <c r="D8" s="35"/>
      <c r="E8" s="35"/>
      <c r="F8" s="35"/>
      <c r="G8" s="35"/>
      <c r="H8" s="35"/>
      <c r="I8" s="35"/>
      <c r="J8" s="35"/>
      <c r="K8" s="41"/>
    </row>
    <row r="9" spans="1:11" ht="17.25" customHeight="1">
      <c r="A9" s="26"/>
      <c r="B9" s="45"/>
      <c r="C9" s="7" t="s">
        <v>44</v>
      </c>
      <c r="D9" s="5"/>
      <c r="E9" s="5"/>
      <c r="F9" s="122" t="s">
        <v>71</v>
      </c>
      <c r="G9" s="122"/>
      <c r="H9" s="122"/>
      <c r="I9" s="5"/>
      <c r="J9" s="5"/>
      <c r="K9" s="46"/>
    </row>
    <row r="10" spans="1:11" ht="12" customHeight="1">
      <c r="A10" s="26"/>
      <c r="B10" s="45"/>
      <c r="C10" s="42"/>
      <c r="D10" s="10" t="s">
        <v>5</v>
      </c>
      <c r="E10" s="10" t="s">
        <v>0</v>
      </c>
      <c r="F10" s="16" t="s">
        <v>1</v>
      </c>
      <c r="G10" s="10" t="s">
        <v>2</v>
      </c>
      <c r="H10" s="10" t="s">
        <v>6</v>
      </c>
      <c r="I10" s="10" t="s">
        <v>3</v>
      </c>
      <c r="J10" s="10" t="s">
        <v>4</v>
      </c>
      <c r="K10" s="47" t="s">
        <v>42</v>
      </c>
    </row>
    <row r="11" spans="1:11" ht="12.75" customHeight="1">
      <c r="A11" s="26"/>
      <c r="B11" s="45"/>
      <c r="C11" s="2"/>
      <c r="D11" s="51"/>
      <c r="E11" s="52"/>
      <c r="F11" s="53"/>
      <c r="G11" s="53"/>
      <c r="H11" s="87">
        <f>IF(E11="",0,(F11*G11)/1000000)</f>
        <v>0</v>
      </c>
      <c r="I11" s="63">
        <f aca="true" t="shared" si="0" ref="I11:I25">IF(E11="ガラス交換",IF(H11&gt;=1.4,"大",IF(H11&gt;=0.8,"中",IF(H11&gt;=0.1,"小",IF(G11="","","対象外")))),IF(H11&gt;=2.8,"大",IF(H11&gt;=1.6,"中",IF(H11&gt;=0.2,"小",IF(G11="","","対象外")))))</f>
      </c>
      <c r="J11" s="64">
        <f aca="true" t="shared" si="1" ref="J11:J25">IF(E11="ガラス交換",IF(I11="大",8000,IF(I11="中",5000,IF(I11="小",3000,0))),IF(I11="大",20000,IF(I11="中",14000,IF(I11="小",8000,0))))</f>
        <v>0</v>
      </c>
      <c r="K11" s="65"/>
    </row>
    <row r="12" spans="1:11" ht="12.75" customHeight="1">
      <c r="A12" s="26"/>
      <c r="B12" s="45"/>
      <c r="C12" s="2"/>
      <c r="D12" s="51"/>
      <c r="E12" s="52"/>
      <c r="F12" s="53"/>
      <c r="G12" s="53"/>
      <c r="H12" s="87">
        <f aca="true" t="shared" si="2" ref="H12:H25">IF(E12="",0,(F12*G12)/1000000)</f>
        <v>0</v>
      </c>
      <c r="I12" s="63">
        <f t="shared" si="0"/>
      </c>
      <c r="J12" s="64">
        <f t="shared" si="1"/>
        <v>0</v>
      </c>
      <c r="K12" s="65"/>
    </row>
    <row r="13" spans="1:11" ht="12.75" customHeight="1">
      <c r="A13" s="26"/>
      <c r="B13" s="45"/>
      <c r="C13" s="2"/>
      <c r="D13" s="51"/>
      <c r="E13" s="52"/>
      <c r="F13" s="53"/>
      <c r="G13" s="53"/>
      <c r="H13" s="87">
        <f t="shared" si="2"/>
        <v>0</v>
      </c>
      <c r="I13" s="63">
        <f t="shared" si="0"/>
      </c>
      <c r="J13" s="64">
        <f t="shared" si="1"/>
        <v>0</v>
      </c>
      <c r="K13" s="65"/>
    </row>
    <row r="14" spans="1:11" ht="12.75" customHeight="1">
      <c r="A14" s="26"/>
      <c r="B14" s="45"/>
      <c r="C14" s="2"/>
      <c r="D14" s="51"/>
      <c r="E14" s="52"/>
      <c r="F14" s="53"/>
      <c r="G14" s="53"/>
      <c r="H14" s="87">
        <f t="shared" si="2"/>
        <v>0</v>
      </c>
      <c r="I14" s="63">
        <f t="shared" si="0"/>
      </c>
      <c r="J14" s="64">
        <f t="shared" si="1"/>
        <v>0</v>
      </c>
      <c r="K14" s="65"/>
    </row>
    <row r="15" spans="1:11" ht="12.75" customHeight="1">
      <c r="A15" s="26"/>
      <c r="B15" s="45"/>
      <c r="C15" s="2"/>
      <c r="D15" s="51"/>
      <c r="E15" s="52"/>
      <c r="F15" s="53"/>
      <c r="G15" s="53"/>
      <c r="H15" s="87">
        <f t="shared" si="2"/>
        <v>0</v>
      </c>
      <c r="I15" s="63">
        <f t="shared" si="0"/>
      </c>
      <c r="J15" s="64">
        <f t="shared" si="1"/>
        <v>0</v>
      </c>
      <c r="K15" s="65"/>
    </row>
    <row r="16" spans="1:11" ht="12.75" customHeight="1">
      <c r="A16" s="26"/>
      <c r="B16" s="45"/>
      <c r="C16" s="2"/>
      <c r="D16" s="51"/>
      <c r="E16" s="52"/>
      <c r="F16" s="53"/>
      <c r="G16" s="53"/>
      <c r="H16" s="87">
        <f t="shared" si="2"/>
        <v>0</v>
      </c>
      <c r="I16" s="63">
        <f t="shared" si="0"/>
      </c>
      <c r="J16" s="64">
        <f t="shared" si="1"/>
        <v>0</v>
      </c>
      <c r="K16" s="65"/>
    </row>
    <row r="17" spans="1:11" ht="12.75" customHeight="1">
      <c r="A17" s="26"/>
      <c r="B17" s="45"/>
      <c r="C17" s="2"/>
      <c r="D17" s="51"/>
      <c r="E17" s="52"/>
      <c r="F17" s="53"/>
      <c r="G17" s="53"/>
      <c r="H17" s="87">
        <f t="shared" si="2"/>
        <v>0</v>
      </c>
      <c r="I17" s="63">
        <f t="shared" si="0"/>
      </c>
      <c r="J17" s="64">
        <f t="shared" si="1"/>
        <v>0</v>
      </c>
      <c r="K17" s="65"/>
    </row>
    <row r="18" spans="1:11" ht="12.75" customHeight="1">
      <c r="A18" s="26"/>
      <c r="B18" s="45"/>
      <c r="C18" s="2"/>
      <c r="D18" s="51"/>
      <c r="E18" s="52"/>
      <c r="F18" s="53"/>
      <c r="G18" s="53"/>
      <c r="H18" s="87">
        <f t="shared" si="2"/>
        <v>0</v>
      </c>
      <c r="I18" s="63">
        <f t="shared" si="0"/>
      </c>
      <c r="J18" s="64">
        <f t="shared" si="1"/>
        <v>0</v>
      </c>
      <c r="K18" s="65"/>
    </row>
    <row r="19" spans="1:11" ht="12.75" customHeight="1">
      <c r="A19" s="26"/>
      <c r="B19" s="45"/>
      <c r="C19" s="2"/>
      <c r="D19" s="51"/>
      <c r="E19" s="52"/>
      <c r="F19" s="53"/>
      <c r="G19" s="53"/>
      <c r="H19" s="87">
        <f t="shared" si="2"/>
        <v>0</v>
      </c>
      <c r="I19" s="63">
        <f t="shared" si="0"/>
      </c>
      <c r="J19" s="64">
        <f t="shared" si="1"/>
        <v>0</v>
      </c>
      <c r="K19" s="65"/>
    </row>
    <row r="20" spans="1:11" ht="12.75" customHeight="1">
      <c r="A20" s="26"/>
      <c r="B20" s="45"/>
      <c r="C20" s="2"/>
      <c r="D20" s="51"/>
      <c r="E20" s="52"/>
      <c r="F20" s="53"/>
      <c r="G20" s="53"/>
      <c r="H20" s="87">
        <f t="shared" si="2"/>
        <v>0</v>
      </c>
      <c r="I20" s="63">
        <f t="shared" si="0"/>
      </c>
      <c r="J20" s="64">
        <f t="shared" si="1"/>
        <v>0</v>
      </c>
      <c r="K20" s="65"/>
    </row>
    <row r="21" spans="1:11" ht="12.75" customHeight="1">
      <c r="A21" s="26"/>
      <c r="B21" s="45"/>
      <c r="C21" s="2"/>
      <c r="D21" s="51"/>
      <c r="E21" s="52"/>
      <c r="F21" s="53"/>
      <c r="G21" s="53"/>
      <c r="H21" s="87">
        <f t="shared" si="2"/>
        <v>0</v>
      </c>
      <c r="I21" s="63">
        <f t="shared" si="0"/>
      </c>
      <c r="J21" s="64">
        <f t="shared" si="1"/>
        <v>0</v>
      </c>
      <c r="K21" s="65"/>
    </row>
    <row r="22" spans="1:11" ht="12.75" customHeight="1">
      <c r="A22" s="26"/>
      <c r="B22" s="45"/>
      <c r="C22" s="2"/>
      <c r="D22" s="51"/>
      <c r="E22" s="52"/>
      <c r="F22" s="53"/>
      <c r="G22" s="53"/>
      <c r="H22" s="87">
        <f t="shared" si="2"/>
        <v>0</v>
      </c>
      <c r="I22" s="63">
        <f t="shared" si="0"/>
      </c>
      <c r="J22" s="64">
        <f t="shared" si="1"/>
        <v>0</v>
      </c>
      <c r="K22" s="65"/>
    </row>
    <row r="23" spans="1:11" ht="12.75" customHeight="1">
      <c r="A23" s="26"/>
      <c r="B23" s="45"/>
      <c r="C23" s="2"/>
      <c r="D23" s="51"/>
      <c r="E23" s="52"/>
      <c r="F23" s="53"/>
      <c r="G23" s="53"/>
      <c r="H23" s="87">
        <f t="shared" si="2"/>
        <v>0</v>
      </c>
      <c r="I23" s="63">
        <f t="shared" si="0"/>
      </c>
      <c r="J23" s="64">
        <f t="shared" si="1"/>
        <v>0</v>
      </c>
      <c r="K23" s="65"/>
    </row>
    <row r="24" spans="1:11" ht="12.75" customHeight="1">
      <c r="A24" s="26"/>
      <c r="B24" s="45"/>
      <c r="C24" s="2"/>
      <c r="D24" s="51"/>
      <c r="E24" s="52"/>
      <c r="F24" s="53"/>
      <c r="G24" s="53"/>
      <c r="H24" s="87">
        <f t="shared" si="2"/>
        <v>0</v>
      </c>
      <c r="I24" s="63">
        <f t="shared" si="0"/>
      </c>
      <c r="J24" s="64">
        <f t="shared" si="1"/>
        <v>0</v>
      </c>
      <c r="K24" s="65"/>
    </row>
    <row r="25" spans="1:11" ht="12.75" customHeight="1" thickBot="1">
      <c r="A25" s="26"/>
      <c r="B25" s="45"/>
      <c r="C25" s="2"/>
      <c r="D25" s="54"/>
      <c r="E25" s="52"/>
      <c r="F25" s="53"/>
      <c r="G25" s="53"/>
      <c r="H25" s="87">
        <f t="shared" si="2"/>
        <v>0</v>
      </c>
      <c r="I25" s="67">
        <f t="shared" si="0"/>
      </c>
      <c r="J25" s="68">
        <f t="shared" si="1"/>
        <v>0</v>
      </c>
      <c r="K25" s="69"/>
    </row>
    <row r="26" spans="1:11" ht="15.75" thickTop="1">
      <c r="A26" s="26"/>
      <c r="B26" s="45"/>
      <c r="C26" s="5"/>
      <c r="D26" s="31"/>
      <c r="E26" s="32"/>
      <c r="F26" s="32"/>
      <c r="G26" s="32"/>
      <c r="H26" s="70"/>
      <c r="I26" s="71" t="s">
        <v>43</v>
      </c>
      <c r="J26" s="72">
        <f>SUM(J11:J25)</f>
        <v>0</v>
      </c>
      <c r="K26" s="73"/>
    </row>
    <row r="27" spans="1:11" ht="6" customHeight="1">
      <c r="A27" s="26"/>
      <c r="B27" s="45"/>
      <c r="C27" s="5"/>
      <c r="D27" s="5"/>
      <c r="E27" s="5"/>
      <c r="F27" s="5"/>
      <c r="G27" s="5"/>
      <c r="H27" s="5"/>
      <c r="I27" s="5"/>
      <c r="J27" s="5"/>
      <c r="K27" s="46"/>
    </row>
    <row r="28" spans="1:11" ht="18">
      <c r="A28" s="26"/>
      <c r="B28" s="45"/>
      <c r="C28" s="48" t="s">
        <v>45</v>
      </c>
      <c r="D28" s="5"/>
      <c r="E28" s="5"/>
      <c r="F28" s="5"/>
      <c r="G28" s="5"/>
      <c r="H28" s="5"/>
      <c r="I28" s="5"/>
      <c r="J28" s="5"/>
      <c r="K28" s="46"/>
    </row>
    <row r="29" spans="1:11" ht="24" customHeight="1">
      <c r="A29" s="26"/>
      <c r="B29" s="45"/>
      <c r="C29" s="5"/>
      <c r="D29" s="10" t="s">
        <v>5</v>
      </c>
      <c r="E29" s="10" t="s">
        <v>11</v>
      </c>
      <c r="F29" s="10" t="s">
        <v>12</v>
      </c>
      <c r="G29" s="10" t="s">
        <v>13</v>
      </c>
      <c r="H29" s="16" t="s">
        <v>58</v>
      </c>
      <c r="I29" s="10" t="s">
        <v>14</v>
      </c>
      <c r="J29" s="10" t="s">
        <v>4</v>
      </c>
      <c r="K29" s="47" t="s">
        <v>42</v>
      </c>
    </row>
    <row r="30" spans="1:11" ht="12.75" customHeight="1">
      <c r="A30" s="26"/>
      <c r="B30" s="45"/>
      <c r="C30" s="5"/>
      <c r="D30" s="51"/>
      <c r="E30" s="11" t="s">
        <v>8</v>
      </c>
      <c r="F30" s="52"/>
      <c r="G30" s="62">
        <f>IF(I30="対象",IF(F30="A-1・A-2・B・C",IF(H30&gt;=6,"標準","部分断熱"),IF(F30="D・E・F",IF(H30&gt;=4,"標準","部分断熱"))),"")</f>
      </c>
      <c r="H30" s="52"/>
      <c r="I30" s="63">
        <f>IF(H30="","",IF(F30="A-1・A-2・B・C",IF(H30&gt;=3,"対象","対象外"),IF(F30="D・E・F",IF(H30&gt;=2,"対象","対象外"))))</f>
      </c>
      <c r="J30" s="64">
        <f>IF(I30="対象",IF(H30="","",IF(F30="A-1・A-2・B・C",IF(H30&gt;=6,120000,60000),IF(F30="D・E・F",IF(H30&gt;=4,120000,60000),0))),0)</f>
        <v>0</v>
      </c>
      <c r="K30" s="74">
        <f>IF(J30=120000,"「断熱の範囲」の「標準」の使用量を満たすため120000ポイントとなります","")</f>
      </c>
    </row>
    <row r="31" spans="1:11" ht="12.75" customHeight="1">
      <c r="A31" s="26"/>
      <c r="B31" s="45"/>
      <c r="C31" s="5"/>
      <c r="D31" s="51"/>
      <c r="E31" s="11" t="s">
        <v>9</v>
      </c>
      <c r="F31" s="52"/>
      <c r="G31" s="62">
        <f>IF(I31="対象",IF(F31="A-1・A-2・B・C",IF(H31&gt;=6,"標準","部分断熱"),IF(F31="D・E・F",IF(H31&gt;=3.5,"標準","部分断熱"))),"")</f>
      </c>
      <c r="H31" s="58"/>
      <c r="I31" s="63">
        <f>IF(H31="","",IF(F31="A-1・A-2・B・C",IF(H31&gt;=3,"対象","対象外"),IF(F31="D・E・F",IF(H31&gt;=2,"対象","対象外"))))</f>
      </c>
      <c r="J31" s="64">
        <f>IF(I31="対象",IF(H31="","",IF(F31="A-1・A-2・B・C",IF(H31&gt;=6,36000,18000),IF(F31="D・E・F",IF(H31&gt;=4,36000,18000),0))),0)</f>
        <v>0</v>
      </c>
      <c r="K31" s="74">
        <f>IF(J31=36000,"「断熱の範囲」の「標準」の使用量を満たすため36000ポイントとなります","")</f>
      </c>
    </row>
    <row r="32" spans="1:11" ht="12.75" customHeight="1">
      <c r="A32" s="26"/>
      <c r="B32" s="45"/>
      <c r="C32" s="5"/>
      <c r="D32" s="51"/>
      <c r="E32" s="11" t="s">
        <v>10</v>
      </c>
      <c r="F32" s="52"/>
      <c r="G32" s="62">
        <f>IF(I32="対象",IF(F32="A-1・A-2・B・C",IF(H32&gt;=3,"標準","部分断熱"),IF(F32="D・E・F",IF(H32&gt;=2,"標準","部分断熱"))),"")</f>
      </c>
      <c r="H32" s="52"/>
      <c r="I32" s="63">
        <f>IF(H32="","",IF(F32="A-1・A-2・B・C",IF(H32&gt;=1.5,"対象","対象外"),IF(F32="D・E・F",IF(H32&gt;=1,"対象","対象外"))))</f>
      </c>
      <c r="J32" s="64">
        <f>IF(I32="対象",IF(H32="","",IF(F32="A-1・A-2・B・C",IF(H32&gt;=6,60000,30000),IF(F32="D・E・F",IF(H32&gt;=4,60000,30000),0))),0)</f>
        <v>0</v>
      </c>
      <c r="K32" s="74">
        <f>IF(J32=60000,"「断熱の範囲」の「標準」の使用量を満たすため60000ポイントとなります","")</f>
      </c>
    </row>
    <row r="33" spans="1:11" ht="12.75" customHeight="1" thickBot="1">
      <c r="A33" s="26"/>
      <c r="B33" s="45"/>
      <c r="C33" s="5"/>
      <c r="D33" s="54"/>
      <c r="E33" s="12" t="s">
        <v>52</v>
      </c>
      <c r="F33" s="55"/>
      <c r="G33" s="66">
        <f>IF(I33="対象",IF(F33="A-1・A-2・B・C",IF(H33&gt;=0.9,"標準","部分断熱"),IF(F33="D・E・F",IF(H33&gt;=0.6,"標準","部分断熱"))),"")</f>
      </c>
      <c r="H33" s="55"/>
      <c r="I33" s="67">
        <f>IF(H33="","",IF(F33="A-1・A-2・B・C",IF(H33&gt;=0.45,"対象","対象外"),IF(F33="D・E・F",IF(H33&gt;=0.3,"対象","対象外"))))</f>
      </c>
      <c r="J33" s="68">
        <f>IF(I33="対象",IF(H33="","",IF(F33="A-1・A-2・B・C",IF(H33&gt;=6,60000,30000),IF(F33="D・E・F",IF(H33&gt;=4,60000,30000),0))),0)</f>
        <v>0</v>
      </c>
      <c r="K33" s="75">
        <f>IF(J33=60000,"「標準」の使用量を満たすため60000ポイントとなります","")</f>
      </c>
    </row>
    <row r="34" spans="1:11" ht="15.75" thickTop="1">
      <c r="A34" s="26"/>
      <c r="B34" s="45"/>
      <c r="C34" s="5"/>
      <c r="D34" s="31"/>
      <c r="E34" s="32"/>
      <c r="F34" s="32"/>
      <c r="G34" s="32"/>
      <c r="H34" s="33"/>
      <c r="I34" s="71" t="s">
        <v>43</v>
      </c>
      <c r="J34" s="72">
        <f>SUM(J30:J33)</f>
        <v>0</v>
      </c>
      <c r="K34" s="73"/>
    </row>
    <row r="35" spans="1:11" ht="6" customHeight="1">
      <c r="A35" s="26"/>
      <c r="B35" s="45"/>
      <c r="C35" s="5"/>
      <c r="D35" s="5"/>
      <c r="E35" s="5"/>
      <c r="F35" s="5"/>
      <c r="G35" s="5"/>
      <c r="H35" s="5"/>
      <c r="I35" s="5"/>
      <c r="J35" s="5"/>
      <c r="K35" s="46"/>
    </row>
    <row r="36" spans="1:11" ht="18">
      <c r="A36" s="26"/>
      <c r="B36" s="45"/>
      <c r="C36" s="48" t="s">
        <v>46</v>
      </c>
      <c r="D36" s="5"/>
      <c r="E36" s="5"/>
      <c r="F36" s="5"/>
      <c r="G36" s="5"/>
      <c r="H36" s="5"/>
      <c r="I36" s="18"/>
      <c r="J36" s="5"/>
      <c r="K36" s="46"/>
    </row>
    <row r="37" spans="1:11" ht="12" customHeight="1">
      <c r="A37" s="26"/>
      <c r="B37" s="45"/>
      <c r="C37" s="48"/>
      <c r="D37" s="97" t="s">
        <v>15</v>
      </c>
      <c r="E37" s="98"/>
      <c r="F37" s="98"/>
      <c r="G37" s="98"/>
      <c r="H37" s="99"/>
      <c r="I37" s="10" t="s">
        <v>37</v>
      </c>
      <c r="J37" s="93" t="s">
        <v>4</v>
      </c>
      <c r="K37" s="95" t="s">
        <v>42</v>
      </c>
    </row>
    <row r="38" spans="1:11" ht="12" customHeight="1">
      <c r="A38" s="26"/>
      <c r="B38" s="45"/>
      <c r="C38" s="5"/>
      <c r="D38" s="103"/>
      <c r="E38" s="104"/>
      <c r="F38" s="104"/>
      <c r="G38" s="104"/>
      <c r="H38" s="105"/>
      <c r="I38" s="10">
        <f>COUNTIF(I39:I43,"○")</f>
        <v>0</v>
      </c>
      <c r="J38" s="94"/>
      <c r="K38" s="96"/>
    </row>
    <row r="39" spans="1:11" ht="12.75" customHeight="1">
      <c r="A39" s="26"/>
      <c r="B39" s="45"/>
      <c r="C39" s="5"/>
      <c r="D39" s="108" t="s">
        <v>16</v>
      </c>
      <c r="E39" s="109"/>
      <c r="F39" s="109"/>
      <c r="G39" s="109"/>
      <c r="H39" s="110"/>
      <c r="I39" s="57"/>
      <c r="J39" s="76">
        <f>IF($I$38&gt;=3,IF(I39="○",24000,0),0)</f>
        <v>0</v>
      </c>
      <c r="K39" s="74">
        <f>IF(I39="","",IF($I$38&lt;=2,"3種類以上の設置が必要です。3つ以下の場合は（その他工事B）エコ住宅設備の設置に入力",""))</f>
      </c>
    </row>
    <row r="40" spans="1:11" ht="12.75" customHeight="1">
      <c r="A40" s="26"/>
      <c r="B40" s="45"/>
      <c r="C40" s="5"/>
      <c r="D40" s="108" t="s">
        <v>17</v>
      </c>
      <c r="E40" s="109"/>
      <c r="F40" s="109"/>
      <c r="G40" s="109"/>
      <c r="H40" s="110"/>
      <c r="I40" s="57"/>
      <c r="J40" s="76">
        <f>IF($I$38&gt;=3,IF(I40="○",24000,0),0)</f>
        <v>0</v>
      </c>
      <c r="K40" s="74">
        <f>IF(I40="","",IF($I$38&lt;=2,"3種類以上の設置が必要です。3つ以下の場合は（その他工事B）エコ住宅設備の設置に入力",""))</f>
      </c>
    </row>
    <row r="41" spans="1:11" ht="12.75" customHeight="1">
      <c r="A41" s="26"/>
      <c r="B41" s="45"/>
      <c r="C41" s="5"/>
      <c r="D41" s="108" t="s">
        <v>18</v>
      </c>
      <c r="E41" s="109"/>
      <c r="F41" s="109"/>
      <c r="G41" s="109"/>
      <c r="H41" s="110"/>
      <c r="I41" s="57"/>
      <c r="J41" s="76">
        <f>IF($I$38&gt;=3,IF(I41="○",24000,0),0)</f>
        <v>0</v>
      </c>
      <c r="K41" s="74">
        <f>IF(I41="","",IF($I$38&lt;=2,"3種類以上の設置が必要です。3つ以下の場合は（その他工事B）エコ住宅設備の設置に入力",""))</f>
      </c>
    </row>
    <row r="42" spans="1:11" ht="12.75" customHeight="1">
      <c r="A42" s="26"/>
      <c r="B42" s="45"/>
      <c r="C42" s="5"/>
      <c r="D42" s="108" t="s">
        <v>19</v>
      </c>
      <c r="E42" s="109"/>
      <c r="F42" s="109"/>
      <c r="G42" s="109"/>
      <c r="H42" s="110"/>
      <c r="I42" s="57"/>
      <c r="J42" s="76">
        <f>IF($I$38&gt;=3,IF(I42="○",24000,0),0)</f>
        <v>0</v>
      </c>
      <c r="K42" s="74">
        <f>IF(I42="","",IF($I$38&lt;=2,"3種類以上の設置が必要です。3つ以下の場合は（その他工事B）エコ住宅設備の設置に入力",""))</f>
      </c>
    </row>
    <row r="43" spans="1:11" ht="12.75" customHeight="1" thickBot="1">
      <c r="A43" s="26"/>
      <c r="B43" s="45"/>
      <c r="C43" s="5"/>
      <c r="D43" s="111" t="s">
        <v>20</v>
      </c>
      <c r="E43" s="112"/>
      <c r="F43" s="112"/>
      <c r="G43" s="112"/>
      <c r="H43" s="113"/>
      <c r="I43" s="57"/>
      <c r="J43" s="77">
        <f>IF($I$38&gt;=3,IF(I43="○",3000,0),0)</f>
        <v>0</v>
      </c>
      <c r="K43" s="74">
        <f>IF(I43="","",IF($I$38&lt;=2,"3種類以上の設置が必要です。3つ以下の場合は（その他工事B）エコ住宅設備の設置に入力",""))</f>
      </c>
    </row>
    <row r="44" spans="1:11" ht="15.75" thickTop="1">
      <c r="A44" s="26"/>
      <c r="B44" s="45"/>
      <c r="C44" s="5"/>
      <c r="D44" s="31"/>
      <c r="E44" s="32"/>
      <c r="F44" s="32"/>
      <c r="G44" s="32"/>
      <c r="H44" s="33"/>
      <c r="I44" s="34" t="s">
        <v>43</v>
      </c>
      <c r="J44" s="78">
        <f>SUM(J39:J43)</f>
        <v>0</v>
      </c>
      <c r="K44" s="73"/>
    </row>
    <row r="45" spans="1:11" ht="6" customHeight="1" thickBot="1">
      <c r="A45" s="26"/>
      <c r="B45" s="45"/>
      <c r="C45" s="5"/>
      <c r="D45" s="5"/>
      <c r="E45" s="5"/>
      <c r="F45" s="5"/>
      <c r="G45" s="5"/>
      <c r="H45" s="5"/>
      <c r="I45" s="5"/>
      <c r="J45" s="3"/>
      <c r="K45" s="46"/>
    </row>
    <row r="46" spans="1:11" ht="18.75" thickBot="1">
      <c r="A46" s="26"/>
      <c r="B46" s="50"/>
      <c r="C46" s="35"/>
      <c r="D46" s="35"/>
      <c r="E46" s="35"/>
      <c r="F46" s="35"/>
      <c r="G46" s="35"/>
      <c r="H46" s="35"/>
      <c r="I46" s="36" t="s">
        <v>54</v>
      </c>
      <c r="J46" s="37">
        <f>IF(J26+J34+J44&gt;300000,300000,J26+J34+J44)</f>
        <v>0</v>
      </c>
      <c r="K46" s="38">
        <f>IF(J26+J34+J44&gt;300000,"一戸の上限は30万ポイントです","")</f>
      </c>
    </row>
    <row r="47" spans="1:10" ht="6" customHeight="1" thickBot="1">
      <c r="A47" s="26"/>
      <c r="J47" s="3"/>
    </row>
    <row r="48" spans="1:11" ht="24.75" customHeight="1" thickBot="1">
      <c r="A48" s="26"/>
      <c r="B48" s="21" t="s">
        <v>41</v>
      </c>
      <c r="C48" s="19"/>
      <c r="D48" s="19"/>
      <c r="E48" s="19"/>
      <c r="F48" s="19"/>
      <c r="G48" s="19"/>
      <c r="H48" s="19"/>
      <c r="I48" s="19"/>
      <c r="J48" s="19"/>
      <c r="K48" s="20"/>
    </row>
    <row r="49" spans="1:11" ht="17.25">
      <c r="A49" s="26"/>
      <c r="B49" s="22"/>
      <c r="C49" s="48" t="s">
        <v>47</v>
      </c>
      <c r="D49" s="5"/>
      <c r="E49" s="5"/>
      <c r="F49" s="5"/>
      <c r="G49" s="5"/>
      <c r="H49" s="5"/>
      <c r="I49" s="5"/>
      <c r="J49" s="5"/>
      <c r="K49" s="46"/>
    </row>
    <row r="50" spans="1:11" ht="14.25">
      <c r="A50" s="26"/>
      <c r="B50" s="22"/>
      <c r="C50" s="4"/>
      <c r="D50" s="117" t="s">
        <v>40</v>
      </c>
      <c r="E50" s="118"/>
      <c r="F50" s="118"/>
      <c r="G50" s="118"/>
      <c r="H50" s="89"/>
      <c r="I50" s="10" t="s">
        <v>39</v>
      </c>
      <c r="J50" s="10" t="s">
        <v>4</v>
      </c>
      <c r="K50" s="47" t="s">
        <v>42</v>
      </c>
    </row>
    <row r="51" spans="1:11" ht="12.75" customHeight="1">
      <c r="A51" s="26"/>
      <c r="B51" s="22"/>
      <c r="C51" s="4"/>
      <c r="D51" s="90" t="s">
        <v>21</v>
      </c>
      <c r="E51" s="114" t="s">
        <v>22</v>
      </c>
      <c r="F51" s="115"/>
      <c r="G51" s="115"/>
      <c r="H51" s="116"/>
      <c r="I51" s="57"/>
      <c r="J51" s="79">
        <f>IF($J$46&gt;0,IF(I51="○",6000,""),IF(I51="○","必須工事の実施が必要",""))</f>
      </c>
      <c r="K51" s="74">
        <f aca="true" t="shared" si="3" ref="K51:K60">IF(J51="必須工事の実施が必要","任意工事のポイント発行は必須工事のうち１つ以上の実施が必要です。","")</f>
      </c>
    </row>
    <row r="52" spans="1:11" ht="12.75" customHeight="1">
      <c r="A52" s="26"/>
      <c r="B52" s="22"/>
      <c r="C52" s="4"/>
      <c r="D52" s="91"/>
      <c r="E52" s="114" t="s">
        <v>23</v>
      </c>
      <c r="F52" s="115"/>
      <c r="G52" s="115"/>
      <c r="H52" s="116"/>
      <c r="I52" s="57"/>
      <c r="J52" s="79">
        <f aca="true" t="shared" si="4" ref="J52:J58">IF($J$46&gt;0,IF(I52="○",6000,""),IF(I52="○","必須工事の実施が必要",""))</f>
      </c>
      <c r="K52" s="74">
        <f t="shared" si="3"/>
      </c>
    </row>
    <row r="53" spans="1:11" ht="12.75" customHeight="1">
      <c r="A53" s="26"/>
      <c r="B53" s="22"/>
      <c r="C53" s="4"/>
      <c r="D53" s="91"/>
      <c r="E53" s="114" t="s">
        <v>24</v>
      </c>
      <c r="F53" s="115"/>
      <c r="G53" s="115"/>
      <c r="H53" s="116"/>
      <c r="I53" s="57"/>
      <c r="J53" s="79">
        <f t="shared" si="4"/>
      </c>
      <c r="K53" s="74">
        <f t="shared" si="3"/>
      </c>
    </row>
    <row r="54" spans="1:11" ht="12.75" customHeight="1">
      <c r="A54" s="26"/>
      <c r="B54" s="22"/>
      <c r="C54" s="4"/>
      <c r="D54" s="91"/>
      <c r="E54" s="114" t="s">
        <v>25</v>
      </c>
      <c r="F54" s="115"/>
      <c r="G54" s="115"/>
      <c r="H54" s="116"/>
      <c r="I54" s="57"/>
      <c r="J54" s="79">
        <f t="shared" si="4"/>
      </c>
      <c r="K54" s="74">
        <f t="shared" si="3"/>
      </c>
    </row>
    <row r="55" spans="1:11" ht="12.75" customHeight="1">
      <c r="A55" s="26"/>
      <c r="B55" s="22"/>
      <c r="C55" s="4"/>
      <c r="D55" s="92"/>
      <c r="E55" s="114" t="s">
        <v>26</v>
      </c>
      <c r="F55" s="115"/>
      <c r="G55" s="115"/>
      <c r="H55" s="116"/>
      <c r="I55" s="57"/>
      <c r="J55" s="79">
        <f t="shared" si="4"/>
      </c>
      <c r="K55" s="74">
        <f t="shared" si="3"/>
      </c>
    </row>
    <row r="56" spans="1:11" ht="12.75" customHeight="1">
      <c r="A56" s="26"/>
      <c r="B56" s="22"/>
      <c r="C56" s="4"/>
      <c r="D56" s="90" t="s">
        <v>27</v>
      </c>
      <c r="E56" s="114" t="s">
        <v>28</v>
      </c>
      <c r="F56" s="115"/>
      <c r="G56" s="115"/>
      <c r="H56" s="116"/>
      <c r="I56" s="57"/>
      <c r="J56" s="79">
        <f t="shared" si="4"/>
      </c>
      <c r="K56" s="74">
        <f t="shared" si="3"/>
      </c>
    </row>
    <row r="57" spans="1:11" ht="12.75" customHeight="1">
      <c r="A57" s="26"/>
      <c r="B57" s="22"/>
      <c r="C57" s="4"/>
      <c r="D57" s="91"/>
      <c r="E57" s="114" t="s">
        <v>29</v>
      </c>
      <c r="F57" s="115"/>
      <c r="G57" s="115"/>
      <c r="H57" s="116"/>
      <c r="I57" s="57"/>
      <c r="J57" s="79">
        <f t="shared" si="4"/>
      </c>
      <c r="K57" s="74">
        <f t="shared" si="3"/>
      </c>
    </row>
    <row r="58" spans="1:11" ht="12.75" customHeight="1">
      <c r="A58" s="26"/>
      <c r="B58" s="22"/>
      <c r="C58" s="4"/>
      <c r="D58" s="92"/>
      <c r="E58" s="114" t="s">
        <v>30</v>
      </c>
      <c r="F58" s="115"/>
      <c r="G58" s="115"/>
      <c r="H58" s="116"/>
      <c r="I58" s="57"/>
      <c r="J58" s="79">
        <f t="shared" si="4"/>
      </c>
      <c r="K58" s="74">
        <f t="shared" si="3"/>
      </c>
    </row>
    <row r="59" spans="1:11" ht="12.75" customHeight="1">
      <c r="A59" s="26"/>
      <c r="B59" s="22"/>
      <c r="C59" s="4"/>
      <c r="D59" s="90" t="s">
        <v>31</v>
      </c>
      <c r="E59" s="114" t="s">
        <v>32</v>
      </c>
      <c r="F59" s="115"/>
      <c r="G59" s="115"/>
      <c r="H59" s="116"/>
      <c r="I59" s="57"/>
      <c r="J59" s="79">
        <f>IF($J$46&gt;0,IF(I59="○",30000,""),IF(I59="○","必須工事の実施が必要",""))</f>
      </c>
      <c r="K59" s="74">
        <f t="shared" si="3"/>
      </c>
    </row>
    <row r="60" spans="1:11" ht="12.75" customHeight="1" thickBot="1">
      <c r="A60" s="26"/>
      <c r="B60" s="22"/>
      <c r="C60" s="4"/>
      <c r="D60" s="91"/>
      <c r="E60" s="119" t="s">
        <v>33</v>
      </c>
      <c r="F60" s="120"/>
      <c r="G60" s="120"/>
      <c r="H60" s="121"/>
      <c r="I60" s="57"/>
      <c r="J60" s="79">
        <f>IF($J$46&gt;0,IF(I60="○",30000,""),IF(I60="○","必須工事の実施が必要",""))</f>
      </c>
      <c r="K60" s="74">
        <f t="shared" si="3"/>
      </c>
    </row>
    <row r="61" spans="1:11" ht="15" thickTop="1">
      <c r="A61" s="26"/>
      <c r="B61" s="22"/>
      <c r="C61" s="5"/>
      <c r="D61" s="31"/>
      <c r="E61" s="32"/>
      <c r="F61" s="32"/>
      <c r="G61" s="32"/>
      <c r="H61" s="33"/>
      <c r="I61" s="34" t="s">
        <v>43</v>
      </c>
      <c r="J61" s="72">
        <f>IF(SUM(J51:J60)&gt;60000,60000,SUM(J51:J60))</f>
        <v>0</v>
      </c>
      <c r="K61" s="73">
        <f>IF(SUM(J51:J60)&gt;60000,"上限は60000ポイントです","")</f>
      </c>
    </row>
    <row r="62" spans="1:11" ht="6" customHeight="1">
      <c r="A62" s="26"/>
      <c r="B62" s="22"/>
      <c r="C62" s="5"/>
      <c r="D62" s="5"/>
      <c r="E62" s="5"/>
      <c r="F62" s="5"/>
      <c r="G62" s="5"/>
      <c r="H62" s="5"/>
      <c r="I62" s="5"/>
      <c r="J62" s="5"/>
      <c r="K62" s="46"/>
    </row>
    <row r="63" spans="1:11" ht="17.25">
      <c r="A63" s="26"/>
      <c r="B63" s="22"/>
      <c r="C63" s="106" t="s">
        <v>48</v>
      </c>
      <c r="D63" s="107"/>
      <c r="E63" s="107"/>
      <c r="F63" s="107"/>
      <c r="G63" s="107"/>
      <c r="H63" s="107"/>
      <c r="I63" s="9"/>
      <c r="J63" s="5"/>
      <c r="K63" s="46"/>
    </row>
    <row r="64" spans="1:11" ht="15" customHeight="1">
      <c r="A64" s="26"/>
      <c r="B64" s="22"/>
      <c r="C64" s="8"/>
      <c r="D64" s="97" t="s">
        <v>15</v>
      </c>
      <c r="E64" s="98"/>
      <c r="F64" s="98"/>
      <c r="G64" s="98"/>
      <c r="H64" s="99"/>
      <c r="I64" s="14" t="s">
        <v>37</v>
      </c>
      <c r="J64" s="93" t="s">
        <v>4</v>
      </c>
      <c r="K64" s="95" t="s">
        <v>42</v>
      </c>
    </row>
    <row r="65" spans="1:11" ht="12" customHeight="1">
      <c r="A65" s="26"/>
      <c r="B65" s="22"/>
      <c r="C65" s="5"/>
      <c r="D65" s="103"/>
      <c r="E65" s="104"/>
      <c r="F65" s="104"/>
      <c r="G65" s="104"/>
      <c r="H65" s="105"/>
      <c r="I65" s="15">
        <f>COUNTIF(I66:I70,"○")</f>
        <v>0</v>
      </c>
      <c r="J65" s="94"/>
      <c r="K65" s="96"/>
    </row>
    <row r="66" spans="1:11" ht="12.75" customHeight="1">
      <c r="A66" s="26"/>
      <c r="B66" s="22"/>
      <c r="C66" s="4"/>
      <c r="D66" s="108" t="s">
        <v>16</v>
      </c>
      <c r="E66" s="109"/>
      <c r="F66" s="109"/>
      <c r="G66" s="109"/>
      <c r="H66" s="110"/>
      <c r="I66" s="57"/>
      <c r="J66" s="79">
        <f>IF(I66="","",IF($J$46&lt;=0,"必須工事の実施が必要",IF(I39&amp;I66="○○","(3)「設備エコ改修」と入力が重複",IF($I$65&gt;=3,"(3)「設備エコ改修」に該当",IF($I$38&gt;=1,"(3)設備エコ改修に1つ以上入力あり",24000)))))</f>
      </c>
      <c r="K66" s="74">
        <f>IF($I$65&gt;=3,IF(J66="(3)「設備エコ改修」と入力が重複","3種類以上、且つ、(3)「設備エコ改修」と重複しています。(3)「設備エコ改修」のみに入力",IF(I66="","","3種類以上のため(3)設備エコ改修に入力")),IF(J66="(3)設備エコ改修に1つ以上入力あり","(3)「設備エコ改修」に1項目以上の入力があります。合計で3項目以上ならば(3)「設備エコ改修」に入力",IF(J66="(3)「設備エコ改修」と入力が重複","(3)「設備エコ改修」と入力が重複しています。","")))</f>
      </c>
    </row>
    <row r="67" spans="1:11" ht="12.75" customHeight="1">
      <c r="A67" s="26"/>
      <c r="B67" s="22"/>
      <c r="C67" s="4"/>
      <c r="D67" s="108" t="s">
        <v>17</v>
      </c>
      <c r="E67" s="109"/>
      <c r="F67" s="109"/>
      <c r="G67" s="109"/>
      <c r="H67" s="110"/>
      <c r="I67" s="57"/>
      <c r="J67" s="79">
        <f>IF(I67="","",IF($J$46&lt;=0,"必須工事の実施が必要",IF(I40&amp;I67="○○","(3)「設備エコ改修」と入力が重複",IF($I$65&gt;=3,"(3)「設備エコ改修」に該当",IF($I$38&gt;=1,"(3)設備エコ改修に1つ以上入力あり",24000)))))</f>
      </c>
      <c r="K67" s="74">
        <f>IF($I$65&gt;=3,IF(J67="(3)「設備エコ改修」と入力が重複","3種類以上、且つ、(3)「設備エコ改修」と重複しています。(3)「設備エコ改修」のみに入力",IF(I67="","","3種類以上のため(3)設備エコ改修に入力")),IF(J67="(3)設備エコ改修に1つ以上入力あり","(3)「設備エコ改修」に1項目以上の入力があります。合計で3項目以上ならば(3)「設備エコ改修」に入力",IF(J67="(3)「設備エコ改修」と入力が重複","(3)「設備エコ改修」と入力が重複しています。","")))</f>
      </c>
    </row>
    <row r="68" spans="1:11" ht="12.75" customHeight="1">
      <c r="A68" s="26"/>
      <c r="B68" s="22"/>
      <c r="C68" s="4"/>
      <c r="D68" s="108" t="s">
        <v>18</v>
      </c>
      <c r="E68" s="109"/>
      <c r="F68" s="109"/>
      <c r="G68" s="109"/>
      <c r="H68" s="110"/>
      <c r="I68" s="57"/>
      <c r="J68" s="79">
        <f>IF(I68="","",IF($J$46&lt;=0,"必須工事の実施が必要",IF(I41&amp;I68="○○","(3)「設備エコ改修」と入力が重複",IF($I$65&gt;=3,"(3)「設備エコ改修」に該当",IF($I$38&gt;=1,"(3)設備エコ改修に1つ以上入力あり",24000)))))</f>
      </c>
      <c r="K68" s="74">
        <f>IF($I$65&gt;=3,IF(J68="(3)「設備エコ改修」と入力が重複","3種類以上、且つ、(3)「設備エコ改修」と重複しています。(3)「設備エコ改修」のみに入力",IF(I68="","","3種類以上のため(3)設備エコ改修に入力")),IF(J68="(3)設備エコ改修に1つ以上入力あり","(3)「設備エコ改修」に1項目以上の入力があります。合計で3項目以上ならば(3)「設備エコ改修」に入力",IF(J68="(3)「設備エコ改修」と入力が重複","(3)「設備エコ改修」と入力が重複しています。","")))</f>
      </c>
    </row>
    <row r="69" spans="1:11" ht="12.75" customHeight="1">
      <c r="A69" s="26"/>
      <c r="B69" s="22"/>
      <c r="C69" s="4"/>
      <c r="D69" s="108" t="s">
        <v>19</v>
      </c>
      <c r="E69" s="109"/>
      <c r="F69" s="109"/>
      <c r="G69" s="109"/>
      <c r="H69" s="110"/>
      <c r="I69" s="57"/>
      <c r="J69" s="79">
        <f>IF(I69="","",IF($J$46&lt;=0,"必須工事の実施が必要",IF(I42&amp;I69="○○","(3)「設備エコ改修」と入力が重複",IF($I$65&gt;=3,"(3)「設備エコ改修」に該当",IF($I$38&gt;=1,"(3)設備エコ改修に1つ以上入力あり",24000)))))</f>
      </c>
      <c r="K69" s="74">
        <f>IF($I$65&gt;=3,IF(J69="(3)「設備エコ改修」と入力が重複","3種類以上、且つ、(3)「設備エコ改修」と重複しています。(3)「設備エコ改修」のみに入力",IF(I69="","","3種類以上のため(3)設備エコ改修に入力")),IF(J69="(3)設備エコ改修に1つ以上入力あり","(3)「設備エコ改修」に1項目以上の入力があります。合計で3項目以上ならば(3)「設備エコ改修」に入力",IF(J69="(3)「設備エコ改修」と入力が重複","(3)「設備エコ改修」と入力が重複しています。","")))</f>
      </c>
    </row>
    <row r="70" spans="1:11" ht="12.75" customHeight="1" thickBot="1">
      <c r="A70" s="26"/>
      <c r="B70" s="22"/>
      <c r="C70" s="4"/>
      <c r="D70" s="111" t="s">
        <v>20</v>
      </c>
      <c r="E70" s="112"/>
      <c r="F70" s="112"/>
      <c r="G70" s="112"/>
      <c r="H70" s="113"/>
      <c r="I70" s="57"/>
      <c r="J70" s="79">
        <f>IF(I70="","",IF($J$46&lt;=0,"必須工事の実施が必要",IF(I43&amp;I70="○○","(3)「設備エコ改修」と入力が重複",IF($I$65&gt;=3,"(3)「設備エコ改修」に該当",IF($I$38&gt;=1,"(3)設備エコ改修に1つ以上入力あり",3000)))))</f>
      </c>
      <c r="K70" s="74">
        <f>IF($I$65&gt;=3,IF(J70="(3)「設備エコ改修」と入力が重複","3種類以上、且つ、(3)「設備エコ改修」と重複しています。(3)「設備エコ改修」のみに入力",IF(I70="","","3種類以上のため(3)設備エコ改修に入力")),IF(J70="(3)設備エコ改修に1つ以上入力あり","(3)「設備エコ改修」に1項目以上の入力があります。合計で3項目以上ならば(3)「設備エコ改修」に入力",IF(J70="(3)「設備エコ改修」と入力が重複","(3)「設備エコ改修」と入力が重複しています。","")))</f>
      </c>
    </row>
    <row r="71" spans="1:11" ht="15" thickTop="1">
      <c r="A71" s="26"/>
      <c r="B71" s="22"/>
      <c r="C71" s="5"/>
      <c r="D71" s="31"/>
      <c r="E71" s="32"/>
      <c r="F71" s="32"/>
      <c r="G71" s="32"/>
      <c r="H71" s="33"/>
      <c r="I71" s="34" t="s">
        <v>43</v>
      </c>
      <c r="J71" s="72">
        <f>SUM(J66:J70)</f>
        <v>0</v>
      </c>
      <c r="K71" s="73"/>
    </row>
    <row r="72" spans="1:11" ht="6" customHeight="1">
      <c r="A72" s="26"/>
      <c r="B72" s="22"/>
      <c r="C72" s="5"/>
      <c r="D72" s="5"/>
      <c r="E72" s="5"/>
      <c r="F72" s="5"/>
      <c r="G72" s="5"/>
      <c r="H72" s="5"/>
      <c r="I72" s="5"/>
      <c r="J72" s="5"/>
      <c r="K72" s="46"/>
    </row>
    <row r="73" spans="1:11" ht="17.25">
      <c r="A73" s="26"/>
      <c r="B73" s="22"/>
      <c r="C73" s="106" t="s">
        <v>49</v>
      </c>
      <c r="D73" s="107"/>
      <c r="E73" s="107"/>
      <c r="F73" s="107"/>
      <c r="G73" s="107"/>
      <c r="H73" s="107"/>
      <c r="I73" s="9"/>
      <c r="J73" s="5"/>
      <c r="K73" s="46"/>
    </row>
    <row r="74" spans="1:11" ht="15" customHeight="1">
      <c r="A74" s="26"/>
      <c r="B74" s="22"/>
      <c r="C74" s="8"/>
      <c r="D74" s="97" t="s">
        <v>34</v>
      </c>
      <c r="E74" s="98"/>
      <c r="F74" s="98"/>
      <c r="G74" s="98"/>
      <c r="H74" s="99"/>
      <c r="I74" s="13" t="s">
        <v>35</v>
      </c>
      <c r="J74" s="13" t="s">
        <v>4</v>
      </c>
      <c r="K74" s="49" t="s">
        <v>42</v>
      </c>
    </row>
    <row r="75" spans="1:11" ht="12.75" customHeight="1" thickBot="1">
      <c r="A75" s="26"/>
      <c r="B75" s="22"/>
      <c r="C75" s="4"/>
      <c r="D75" s="100"/>
      <c r="E75" s="101"/>
      <c r="F75" s="101"/>
      <c r="G75" s="101"/>
      <c r="H75" s="102"/>
      <c r="I75" s="56"/>
      <c r="J75" s="80">
        <f>IF(I75="","",IF($J$46&lt;=0,"必須工事の実施が必要",11000*I75))</f>
      </c>
      <c r="K75" s="81"/>
    </row>
    <row r="76" spans="1:11" ht="15" thickTop="1">
      <c r="A76" s="26"/>
      <c r="B76" s="22"/>
      <c r="C76" s="5"/>
      <c r="D76" s="31"/>
      <c r="E76" s="32"/>
      <c r="F76" s="32"/>
      <c r="G76" s="32"/>
      <c r="H76" s="33"/>
      <c r="I76" s="34" t="s">
        <v>43</v>
      </c>
      <c r="J76" s="72">
        <f>SUM(J75)</f>
        <v>0</v>
      </c>
      <c r="K76" s="73"/>
    </row>
    <row r="77" spans="1:11" ht="6" customHeight="1">
      <c r="A77" s="26"/>
      <c r="B77" s="22"/>
      <c r="C77" s="5"/>
      <c r="D77" s="5"/>
      <c r="E77" s="5"/>
      <c r="F77" s="5"/>
      <c r="G77" s="5"/>
      <c r="H77" s="5"/>
      <c r="I77" s="5"/>
      <c r="J77" s="5"/>
      <c r="K77" s="46"/>
    </row>
    <row r="78" spans="1:11" ht="17.25">
      <c r="A78" s="26"/>
      <c r="B78" s="22"/>
      <c r="C78" s="106" t="s">
        <v>50</v>
      </c>
      <c r="D78" s="107"/>
      <c r="E78" s="107"/>
      <c r="F78" s="107"/>
      <c r="G78" s="107"/>
      <c r="H78" s="107"/>
      <c r="I78" s="9"/>
      <c r="J78" s="5"/>
      <c r="K78" s="46"/>
    </row>
    <row r="79" spans="1:11" ht="15" customHeight="1">
      <c r="A79" s="26"/>
      <c r="B79" s="22"/>
      <c r="C79" s="8"/>
      <c r="D79" s="97" t="s">
        <v>36</v>
      </c>
      <c r="E79" s="98"/>
      <c r="F79" s="98"/>
      <c r="G79" s="98"/>
      <c r="H79" s="99"/>
      <c r="I79" s="10" t="s">
        <v>37</v>
      </c>
      <c r="J79" s="10" t="s">
        <v>4</v>
      </c>
      <c r="K79" s="47" t="s">
        <v>42</v>
      </c>
    </row>
    <row r="80" spans="1:11" ht="12.75" customHeight="1" thickBot="1">
      <c r="A80" s="26"/>
      <c r="B80" s="22"/>
      <c r="C80" s="4"/>
      <c r="D80" s="100"/>
      <c r="E80" s="101"/>
      <c r="F80" s="101"/>
      <c r="G80" s="101"/>
      <c r="H80" s="102"/>
      <c r="I80" s="56"/>
      <c r="J80" s="80">
        <f>IF(I80="","",IF($J$46&lt;=0,"必須工事の実施が必要",IF(I80="○",150000,)))</f>
      </c>
      <c r="K80" s="81">
        <f>IF(I80="","",IF(J80="必須工事の実施が必要","",IF(I80="○","上限が45万ポイントになります","")))</f>
      </c>
    </row>
    <row r="81" spans="1:11" ht="15" thickTop="1">
      <c r="A81" s="26"/>
      <c r="B81" s="22"/>
      <c r="C81" s="5"/>
      <c r="D81" s="31"/>
      <c r="E81" s="32"/>
      <c r="F81" s="32"/>
      <c r="G81" s="32"/>
      <c r="H81" s="33"/>
      <c r="I81" s="34" t="s">
        <v>43</v>
      </c>
      <c r="J81" s="72">
        <f>SUM(J80)</f>
        <v>0</v>
      </c>
      <c r="K81" s="73"/>
    </row>
    <row r="82" spans="1:11" ht="6" customHeight="1">
      <c r="A82" s="26"/>
      <c r="B82" s="22"/>
      <c r="C82" s="5"/>
      <c r="D82" s="5"/>
      <c r="E82" s="5"/>
      <c r="F82" s="5"/>
      <c r="G82" s="5"/>
      <c r="H82" s="5"/>
      <c r="I82" s="5"/>
      <c r="J82" s="5"/>
      <c r="K82" s="46"/>
    </row>
    <row r="83" spans="1:11" ht="17.25">
      <c r="A83" s="26"/>
      <c r="B83" s="22"/>
      <c r="C83" s="106" t="s">
        <v>51</v>
      </c>
      <c r="D83" s="107"/>
      <c r="E83" s="107"/>
      <c r="F83" s="107"/>
      <c r="G83" s="107"/>
      <c r="H83" s="107"/>
      <c r="I83" s="9"/>
      <c r="J83" s="5"/>
      <c r="K83" s="46"/>
    </row>
    <row r="84" spans="1:11" ht="15" customHeight="1">
      <c r="A84" s="26"/>
      <c r="B84" s="22"/>
      <c r="C84" s="8"/>
      <c r="D84" s="97" t="s">
        <v>38</v>
      </c>
      <c r="E84" s="98"/>
      <c r="F84" s="98"/>
      <c r="G84" s="98"/>
      <c r="H84" s="99"/>
      <c r="I84" s="10" t="s">
        <v>37</v>
      </c>
      <c r="J84" s="10" t="s">
        <v>4</v>
      </c>
      <c r="K84" s="47" t="s">
        <v>42</v>
      </c>
    </row>
    <row r="85" spans="1:11" ht="12.75" customHeight="1" thickBot="1">
      <c r="A85" s="26"/>
      <c r="B85" s="22"/>
      <c r="C85" s="4"/>
      <c r="D85" s="100"/>
      <c r="E85" s="101"/>
      <c r="F85" s="101"/>
      <c r="G85" s="101"/>
      <c r="H85" s="102"/>
      <c r="I85" s="56"/>
      <c r="J85" s="80">
        <f>IF(I85="","",IF($J$46&lt;=0,"必須工事の実施が必要",IF(I85="○",IF(J46+J61+J71+J76+J81&gt;100000,100000,J46+J61+J71+J76+J81),"")))</f>
      </c>
      <c r="K85" s="81"/>
    </row>
    <row r="86" spans="1:11" ht="15" customHeight="1" thickTop="1">
      <c r="A86" s="26"/>
      <c r="B86" s="22"/>
      <c r="C86" s="5"/>
      <c r="D86" s="31"/>
      <c r="E86" s="32"/>
      <c r="F86" s="32"/>
      <c r="G86" s="32"/>
      <c r="H86" s="33"/>
      <c r="I86" s="34" t="s">
        <v>43</v>
      </c>
      <c r="J86" s="72">
        <f>SUM(J85)</f>
        <v>0</v>
      </c>
      <c r="K86" s="73"/>
    </row>
    <row r="87" spans="1:11" ht="6" customHeight="1" thickBot="1">
      <c r="A87" s="26"/>
      <c r="B87" s="22"/>
      <c r="C87" s="5"/>
      <c r="D87" s="5"/>
      <c r="E87" s="5"/>
      <c r="F87" s="5"/>
      <c r="G87" s="5"/>
      <c r="H87" s="5"/>
      <c r="I87" s="5"/>
      <c r="J87" s="5"/>
      <c r="K87" s="46"/>
    </row>
    <row r="88" spans="1:11" ht="18" thickBot="1">
      <c r="A88" s="26"/>
      <c r="B88" s="23"/>
      <c r="C88" s="19"/>
      <c r="D88" s="19"/>
      <c r="E88" s="19"/>
      <c r="F88" s="19"/>
      <c r="G88" s="19"/>
      <c r="H88" s="19"/>
      <c r="I88" s="24" t="s">
        <v>55</v>
      </c>
      <c r="J88" s="82">
        <f>IF($J$46&gt;0,J61+J71+J76+J81+J86,0)</f>
        <v>0</v>
      </c>
      <c r="K88" s="83" t="str">
        <f>IF($J$46&gt;0,"","必須工事の1つ以上実施が必要です")</f>
        <v>必須工事の1つ以上実施が必要です</v>
      </c>
    </row>
    <row r="89" spans="1:11" ht="6" customHeight="1" thickBot="1">
      <c r="A89" s="26"/>
      <c r="B89" s="6"/>
      <c r="C89" s="6"/>
      <c r="D89" s="6"/>
      <c r="E89" s="6"/>
      <c r="F89" s="6"/>
      <c r="G89" s="6"/>
      <c r="H89" s="6"/>
      <c r="I89" s="6"/>
      <c r="J89" s="6"/>
      <c r="K89" s="6"/>
    </row>
    <row r="90" spans="1:11" ht="21.75" thickBot="1">
      <c r="A90" s="27"/>
      <c r="B90" s="28"/>
      <c r="C90" s="28"/>
      <c r="D90" s="28"/>
      <c r="E90" s="28"/>
      <c r="F90" s="28"/>
      <c r="G90" s="28"/>
      <c r="H90" s="29"/>
      <c r="I90" s="30" t="s">
        <v>53</v>
      </c>
      <c r="J90" s="84">
        <f>IF($I$80="○",IF(J46+J88&gt;450000,450000,J46+J88),IF(J46+J88&gt;300000,300000,J46+J88))</f>
        <v>0</v>
      </c>
      <c r="K90" s="85">
        <f>IF(I80="○",IF(J26+J34+J44+J61+J71+J76+J81+J86&gt;450000,"「耐震改修工事」実施の場合の上限は45万ポイントです",""),IF(J26+J34+J44+J61+J71+J76+J81+J86&gt;300000,"一戸あたりの上限は30万ポイントです",""))</f>
      </c>
    </row>
    <row r="91" spans="7:10" ht="14.25">
      <c r="G91" s="59"/>
      <c r="H91" s="59"/>
      <c r="I91" s="60"/>
      <c r="J91" s="61"/>
    </row>
  </sheetData>
  <sheetProtection password="CC3D" sheet="1" objects="1" scenarios="1"/>
  <mergeCells count="44">
    <mergeCell ref="J37:J38"/>
    <mergeCell ref="K37:K38"/>
    <mergeCell ref="K64:K65"/>
    <mergeCell ref="J64:J65"/>
    <mergeCell ref="D84:H85"/>
    <mergeCell ref="D64:H65"/>
    <mergeCell ref="D37:H38"/>
    <mergeCell ref="C83:H83"/>
    <mergeCell ref="D39:H39"/>
    <mergeCell ref="D40:H40"/>
    <mergeCell ref="D41:H41"/>
    <mergeCell ref="D42:H42"/>
    <mergeCell ref="D43:H43"/>
    <mergeCell ref="D66:H66"/>
    <mergeCell ref="C63:H63"/>
    <mergeCell ref="D74:H75"/>
    <mergeCell ref="D79:H80"/>
    <mergeCell ref="C78:H78"/>
    <mergeCell ref="C73:H73"/>
    <mergeCell ref="D67:H67"/>
    <mergeCell ref="D68:H68"/>
    <mergeCell ref="D69:H69"/>
    <mergeCell ref="D70:H70"/>
    <mergeCell ref="E58:H58"/>
    <mergeCell ref="E59:H59"/>
    <mergeCell ref="D50:H50"/>
    <mergeCell ref="D51:D55"/>
    <mergeCell ref="D56:D58"/>
    <mergeCell ref="D59:D60"/>
    <mergeCell ref="E51:H51"/>
    <mergeCell ref="E52:H52"/>
    <mergeCell ref="E53:H53"/>
    <mergeCell ref="E60:H60"/>
    <mergeCell ref="E54:H54"/>
    <mergeCell ref="E55:H55"/>
    <mergeCell ref="E56:H56"/>
    <mergeCell ref="E57:H57"/>
    <mergeCell ref="F9:H9"/>
    <mergeCell ref="A1:K1"/>
    <mergeCell ref="G5:G6"/>
    <mergeCell ref="G3:G4"/>
    <mergeCell ref="H3:J4"/>
    <mergeCell ref="H5:J6"/>
    <mergeCell ref="B2:D2"/>
  </mergeCells>
  <conditionalFormatting sqref="J66:J70">
    <cfRule type="cellIs" priority="1" dxfId="0" operator="equal" stopIfTrue="1">
      <formula>"重複入力！"</formula>
    </cfRule>
  </conditionalFormatting>
  <dataValidations count="6">
    <dataValidation type="list" allowBlank="1" showInputMessage="1" showErrorMessage="1" sqref="F30:F33">
      <formula1>断熱材区分</formula1>
    </dataValidation>
    <dataValidation type="list" allowBlank="1" showInputMessage="1" showErrorMessage="1" sqref="E11:E25">
      <formula1>窓改修内容</formula1>
    </dataValidation>
    <dataValidation type="list" showInputMessage="1" showErrorMessage="1" sqref="I85 I80">
      <formula1>有無</formula1>
    </dataValidation>
    <dataValidation type="list" allowBlank="1" showInputMessage="1" showErrorMessage="1" sqref="I51:I60 I40:I43 I66:I70">
      <formula1>有無</formula1>
    </dataValidation>
    <dataValidation type="list" showInputMessage="1" showErrorMessage="1" sqref="I75">
      <formula1>数量</formula1>
    </dataValidation>
    <dataValidation type="list" allowBlank="1" showInputMessage="1" showErrorMessage="1" sqref="I39">
      <formula1>有無</formula1>
    </dataValidation>
  </dataValidations>
  <printOptions horizontalCentered="1" verticalCentered="1"/>
  <pageMargins left="0.1968503937007874" right="0.1968503937007874" top="0.2362204724409449" bottom="0.1968503937007874" header="0.1968503937007874" footer="0.1968503937007874"/>
  <pageSetup fitToHeight="1" fitToWidth="1" horizontalDpi="600" verticalDpi="600" orientation="portrait" paperSize="9" scale="66"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D7"/>
  <sheetViews>
    <sheetView workbookViewId="0" topLeftCell="A1">
      <selection activeCell="H12" sqref="H12:H13"/>
    </sheetView>
  </sheetViews>
  <sheetFormatPr defaultColWidth="9.00390625" defaultRowHeight="14.25"/>
  <sheetData>
    <row r="1" spans="1:4" ht="14.25">
      <c r="A1" t="s">
        <v>62</v>
      </c>
      <c r="B1" t="s">
        <v>63</v>
      </c>
      <c r="C1" t="s">
        <v>67</v>
      </c>
      <c r="D1" t="s">
        <v>70</v>
      </c>
    </row>
    <row r="3" spans="1:4" ht="14.25">
      <c r="A3" t="s">
        <v>61</v>
      </c>
      <c r="B3">
        <v>1</v>
      </c>
      <c r="C3" t="s">
        <v>64</v>
      </c>
      <c r="D3" t="s">
        <v>68</v>
      </c>
    </row>
    <row r="4" spans="2:4" ht="14.25">
      <c r="B4">
        <v>2</v>
      </c>
      <c r="C4" t="s">
        <v>65</v>
      </c>
      <c r="D4" t="s">
        <v>69</v>
      </c>
    </row>
    <row r="5" spans="2:3" ht="14.25">
      <c r="B5">
        <v>3</v>
      </c>
      <c r="C5" t="s">
        <v>66</v>
      </c>
    </row>
    <row r="6" ht="14.25">
      <c r="B6">
        <v>4</v>
      </c>
    </row>
    <row r="7" ht="14.25">
      <c r="B7">
        <v>5</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11"/>
  <sheetViews>
    <sheetView workbookViewId="0" topLeftCell="A1">
      <selection activeCell="H22" sqref="H22"/>
    </sheetView>
  </sheetViews>
  <sheetFormatPr defaultColWidth="9.00390625" defaultRowHeight="14.25"/>
  <cols>
    <col min="1" max="1" width="14.625" style="0" bestFit="1" customWidth="1"/>
    <col min="2" max="2" width="1.37890625" style="0" customWidth="1"/>
  </cols>
  <sheetData>
    <row r="1" ht="14.25">
      <c r="C1" t="s">
        <v>72</v>
      </c>
    </row>
    <row r="2" spans="1:4" ht="14.25">
      <c r="A2" t="s">
        <v>74</v>
      </c>
      <c r="C2" t="s">
        <v>77</v>
      </c>
      <c r="D2" t="s">
        <v>76</v>
      </c>
    </row>
    <row r="3" spans="1:4" ht="14.25">
      <c r="A3" t="str">
        <f>INDEX(C:C,COUNTA(C:C))</f>
        <v>Ver.2.0.1</v>
      </c>
      <c r="C3" t="s">
        <v>84</v>
      </c>
      <c r="D3" t="s">
        <v>73</v>
      </c>
    </row>
    <row r="4" spans="3:4" ht="14.25">
      <c r="C4" t="s">
        <v>78</v>
      </c>
      <c r="D4" t="s">
        <v>73</v>
      </c>
    </row>
    <row r="5" spans="3:4" ht="14.25">
      <c r="C5" t="s">
        <v>79</v>
      </c>
      <c r="D5" t="s">
        <v>73</v>
      </c>
    </row>
    <row r="6" spans="3:4" ht="14.25">
      <c r="C6" t="s">
        <v>80</v>
      </c>
      <c r="D6" t="s">
        <v>73</v>
      </c>
    </row>
    <row r="7" spans="3:4" ht="14.25">
      <c r="C7" t="s">
        <v>81</v>
      </c>
      <c r="D7" t="s">
        <v>73</v>
      </c>
    </row>
    <row r="8" spans="3:4" ht="14.25">
      <c r="C8" t="s">
        <v>82</v>
      </c>
      <c r="D8" t="s">
        <v>73</v>
      </c>
    </row>
    <row r="9" spans="3:4" ht="14.25">
      <c r="C9" t="s">
        <v>83</v>
      </c>
      <c r="D9" t="s">
        <v>75</v>
      </c>
    </row>
    <row r="10" spans="3:4" ht="14.25">
      <c r="C10" t="s">
        <v>85</v>
      </c>
      <c r="D10" t="s">
        <v>86</v>
      </c>
    </row>
    <row r="11" spans="3:4" ht="14.25">
      <c r="C11" t="s">
        <v>90</v>
      </c>
      <c r="D11" t="s">
        <v>91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中田 淳</dc:creator>
  <cp:keywords/>
  <dc:description/>
  <cp:lastModifiedBy>中田 淳</cp:lastModifiedBy>
  <cp:lastPrinted>2015-02-06T05:41:33Z</cp:lastPrinted>
  <dcterms:created xsi:type="dcterms:W3CDTF">2015-01-28T13:10:14Z</dcterms:created>
  <dcterms:modified xsi:type="dcterms:W3CDTF">2015-02-12T05:20:35Z</dcterms:modified>
  <cp:category/>
  <cp:version/>
  <cp:contentType/>
  <cp:contentStatus/>
</cp:coreProperties>
</file>